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80" yWindow="-195" windowWidth="19020" windowHeight="11385" activeTab="1"/>
  </bookViews>
  <sheets>
    <sheet name="CY10 Plan &amp; Actuals-present" sheetId="1" r:id="rId1"/>
    <sheet name="CY12 Shares and Contribution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BaBar_Cur_Month">'[5]NonOCF Csts &amp; Frcst'!$W$3</definedName>
    <definedName name="Bgt_Version">[6]Percentage!$AI$1:$AJ$1</definedName>
    <definedName name="Data">'[7]Tot-RD'!$A$1:$T$16</definedName>
    <definedName name="FY" localSheetId="1">#REF!</definedName>
    <definedName name="FY">#REF!</definedName>
    <definedName name="FY05_FY06_MSDetail" localSheetId="1">#REF!</definedName>
    <definedName name="FY05_FY06_MSDetail">#REF!</definedName>
    <definedName name="ISOC_Names">[8]Validate!$A$2:$A$42</definedName>
    <definedName name="Labor_Actual" localSheetId="1">#REF!</definedName>
    <definedName name="Labor_Actual">#REF!</definedName>
    <definedName name="Labor_Actual_Budget" localSheetId="1">#REF!</definedName>
    <definedName name="Labor_Actual_Budget">#REF!</definedName>
    <definedName name="month">[6]Percentage!$C$68</definedName>
    <definedName name="_xlnm.Print_Area" localSheetId="0">'CY10 Plan &amp; Actuals-present'!$B$2:$M$52</definedName>
    <definedName name="_xlnm.Print_Area" localSheetId="1">'CY12 Shares and Contributions'!$A$2:$L$42</definedName>
    <definedName name="sal" localSheetId="1">#REF!</definedName>
    <definedName name="sal">#REF!</definedName>
    <definedName name="Straight_Line">[6]Percentage!$E$68</definedName>
    <definedName name="Tbl_Arf_Labor_Detail" localSheetId="1">#REF!</definedName>
    <definedName name="Tbl_Arf_Labor_Detail">#REF!</definedName>
    <definedName name="Tbl_Arf_Labor_Detail_w_Charge_Number" localSheetId="1">#REF!</definedName>
    <definedName name="Tbl_Arf_Labor_Detail_w_Charge_Number">#REF!</definedName>
    <definedName name="Tbl_ARFCost_Dwnload" localSheetId="1">#REF!</definedName>
    <definedName name="Tbl_ARFCost_Dwnload">#REF!</definedName>
    <definedName name="Tbl_Encumbrance" localSheetId="1">#REF!</definedName>
    <definedName name="Tbl_Encumbrance">#REF!</definedName>
    <definedName name="Valid_Names">[9]Lists!$H$3:$H$17</definedName>
    <definedName name="Validation_ChNum">[10]Validation!$C$2:$C$12</definedName>
    <definedName name="Validation_GL_Type">[8]Validate!$E$2:$E$5</definedName>
    <definedName name="Validation_Location">[8]Validate!$G$2:$G$6</definedName>
    <definedName name="Validation_Names">[11]Validation!$A$2:$A$51</definedName>
  </definedNames>
  <calcPr calcId="125725"/>
</workbook>
</file>

<file path=xl/calcChain.xml><?xml version="1.0" encoding="utf-8"?>
<calcChain xmlns="http://schemas.openxmlformats.org/spreadsheetml/2006/main">
  <c r="K38" i="2"/>
  <c r="D38"/>
  <c r="C38"/>
  <c r="B38"/>
  <c r="F35"/>
  <c r="F34"/>
  <c r="F33"/>
  <c r="B32"/>
  <c r="F32" s="1"/>
  <c r="D31"/>
  <c r="D37" s="1"/>
  <c r="C31"/>
  <c r="C37" s="1"/>
  <c r="B31"/>
  <c r="B37" s="1"/>
  <c r="F29"/>
  <c r="F27"/>
  <c r="F25"/>
  <c r="F23"/>
  <c r="F21"/>
  <c r="F19"/>
  <c r="F17"/>
  <c r="F38" s="1"/>
  <c r="F15"/>
  <c r="F14"/>
  <c r="F13"/>
  <c r="D13"/>
  <c r="C13"/>
  <c r="B13"/>
  <c r="G11"/>
  <c r="F11"/>
  <c r="G10"/>
  <c r="F10"/>
  <c r="G9"/>
  <c r="F9"/>
  <c r="D9"/>
  <c r="C9"/>
  <c r="B9"/>
  <c r="I8"/>
  <c r="G5"/>
  <c r="F43" i="1"/>
  <c r="K42"/>
  <c r="K46" s="1"/>
  <c r="F42"/>
  <c r="F46" s="1"/>
  <c r="E42"/>
  <c r="L40"/>
  <c r="M40" s="1"/>
  <c r="K40"/>
  <c r="M39"/>
  <c r="L39"/>
  <c r="L42" s="1"/>
  <c r="L46" s="1"/>
  <c r="I39"/>
  <c r="H39"/>
  <c r="M37"/>
  <c r="L37"/>
  <c r="M35"/>
  <c r="L35"/>
  <c r="M34"/>
  <c r="L34"/>
  <c r="I34"/>
  <c r="H34"/>
  <c r="G34"/>
  <c r="L32"/>
  <c r="M32" s="1"/>
  <c r="L29"/>
  <c r="M29" s="1"/>
  <c r="L28"/>
  <c r="M28" s="1"/>
  <c r="H28"/>
  <c r="I28" s="1"/>
  <c r="G28"/>
  <c r="M23"/>
  <c r="L23"/>
  <c r="I23"/>
  <c r="H23"/>
  <c r="M21"/>
  <c r="L21"/>
  <c r="D19"/>
  <c r="L18"/>
  <c r="M18" s="1"/>
  <c r="D18"/>
  <c r="M17"/>
  <c r="L17"/>
  <c r="I17"/>
  <c r="I44" s="1"/>
  <c r="H17"/>
  <c r="G17"/>
  <c r="R15"/>
  <c r="S15" s="1"/>
  <c r="M11" s="1"/>
  <c r="M15" s="1"/>
  <c r="L15"/>
  <c r="L11"/>
  <c r="S9"/>
  <c r="L9"/>
  <c r="S8"/>
  <c r="M8"/>
  <c r="L8"/>
  <c r="S7"/>
  <c r="M7"/>
  <c r="L7"/>
  <c r="S6"/>
  <c r="M6"/>
  <c r="L6"/>
  <c r="S5"/>
  <c r="S10" s="1"/>
  <c r="M5" s="1"/>
  <c r="M9" s="1"/>
  <c r="M3" s="1"/>
  <c r="L5"/>
  <c r="L3"/>
  <c r="H3"/>
  <c r="H42" s="1"/>
  <c r="I42" s="1"/>
  <c r="I45" s="1"/>
  <c r="G3"/>
  <c r="G42" s="1"/>
  <c r="C39" i="2" l="1"/>
  <c r="G32"/>
  <c r="F31"/>
  <c r="M42" i="1"/>
  <c r="M46" s="1"/>
  <c r="F5" i="2" s="1"/>
  <c r="B39"/>
  <c r="D39"/>
  <c r="I3" i="1"/>
  <c r="G14" i="2"/>
  <c r="G15"/>
  <c r="G17"/>
  <c r="G19"/>
  <c r="G21"/>
  <c r="G23"/>
  <c r="G25"/>
  <c r="G27"/>
  <c r="G29"/>
  <c r="G34"/>
  <c r="G35"/>
  <c r="F37" l="1"/>
  <c r="G33"/>
  <c r="G38"/>
  <c r="G13"/>
  <c r="G31" l="1"/>
  <c r="G37" s="1"/>
  <c r="G39" s="1"/>
  <c r="I33" s="1"/>
  <c r="F39"/>
  <c r="E11" l="1"/>
  <c r="E10"/>
  <c r="E9"/>
  <c r="H15"/>
  <c r="H23"/>
  <c r="E33"/>
  <c r="E32"/>
  <c r="H11"/>
  <c r="H21"/>
  <c r="H29"/>
  <c r="E15"/>
  <c r="E13"/>
  <c r="H19"/>
  <c r="H27"/>
  <c r="H35"/>
  <c r="H32"/>
  <c r="H10"/>
  <c r="H14"/>
  <c r="H25"/>
  <c r="H34"/>
  <c r="E14"/>
  <c r="E17"/>
  <c r="E19"/>
  <c r="E21"/>
  <c r="E23"/>
  <c r="E25"/>
  <c r="E27"/>
  <c r="E34"/>
  <c r="H17"/>
  <c r="E29"/>
  <c r="E35"/>
  <c r="E31"/>
  <c r="E37" s="1"/>
  <c r="F4"/>
  <c r="I11"/>
  <c r="I10"/>
  <c r="I32"/>
  <c r="I31" s="1"/>
  <c r="I29"/>
  <c r="I34"/>
  <c r="I14"/>
  <c r="I23"/>
  <c r="I35"/>
  <c r="I15"/>
  <c r="I17"/>
  <c r="I25"/>
  <c r="I21"/>
  <c r="I27"/>
  <c r="I19"/>
  <c r="H38" l="1"/>
  <c r="J17"/>
  <c r="J10"/>
  <c r="H9"/>
  <c r="I38"/>
  <c r="I13"/>
  <c r="I9"/>
  <c r="J25"/>
  <c r="J35"/>
  <c r="J19"/>
  <c r="J21"/>
  <c r="J23"/>
  <c r="J34"/>
  <c r="J33" s="1"/>
  <c r="H33"/>
  <c r="J14"/>
  <c r="H13"/>
  <c r="J32"/>
  <c r="J31" s="1"/>
  <c r="H31"/>
  <c r="H37" s="1"/>
  <c r="H39" s="1"/>
  <c r="I37"/>
  <c r="I39" s="1"/>
  <c r="E38"/>
  <c r="E39" s="1"/>
  <c r="J27"/>
  <c r="J29"/>
  <c r="J11"/>
  <c r="J15"/>
  <c r="J13" l="1"/>
  <c r="J9"/>
  <c r="J38"/>
  <c r="K34"/>
  <c r="K10"/>
  <c r="K15"/>
  <c r="L15" s="1"/>
  <c r="K35"/>
  <c r="L35" s="1"/>
  <c r="K27"/>
  <c r="L27" s="1"/>
  <c r="K11"/>
  <c r="L11" s="1"/>
  <c r="K32"/>
  <c r="K29"/>
  <c r="L29" s="1"/>
  <c r="K14"/>
  <c r="J37"/>
  <c r="J39" s="1"/>
  <c r="L14" l="1"/>
  <c r="K13"/>
  <c r="L13" s="1"/>
  <c r="L32"/>
  <c r="L34"/>
  <c r="K33"/>
  <c r="L33" s="1"/>
  <c r="K9"/>
  <c r="L9" s="1"/>
  <c r="L10"/>
  <c r="K31" l="1"/>
  <c r="K37" l="1"/>
  <c r="L31"/>
  <c r="K39" l="1"/>
  <c r="L37"/>
</calcChain>
</file>

<file path=xl/sharedStrings.xml><?xml version="1.0" encoding="utf-8"?>
<sst xmlns="http://schemas.openxmlformats.org/spreadsheetml/2006/main" count="112" uniqueCount="99">
  <si>
    <t>FGST Operating Collaboration Fund Budget for 2010</t>
  </si>
  <si>
    <t>Budget Assumptions 2010</t>
  </si>
  <si>
    <t>Calendar 2009 Approved Budget</t>
  </si>
  <si>
    <t>Calendar 2010 Approved Nov '09</t>
  </si>
  <si>
    <t>End of Year Costs</t>
  </si>
  <si>
    <t>Calendar 2010 End of Year Costs</t>
  </si>
  <si>
    <t>Delta (Bgt - Cost)</t>
  </si>
  <si>
    <t>CY10 Foot Notes</t>
  </si>
  <si>
    <t>Calendar 2011 Proposed 3/10</t>
  </si>
  <si>
    <t>Calendar 2011 Approved 8/10</t>
  </si>
  <si>
    <t>Calendar 2012 Proposed 5/11</t>
  </si>
  <si>
    <t>1. ISOC Core Staff (CHS) Cost*</t>
  </si>
  <si>
    <t>(Based on annual staff rates in ISOC CHS)</t>
  </si>
  <si>
    <t>Employee</t>
  </si>
  <si>
    <t>Rate</t>
  </si>
  <si>
    <t>FTE fraction</t>
  </si>
  <si>
    <t>hrs/yr</t>
  </si>
  <si>
    <t>Software Engineer</t>
  </si>
  <si>
    <t>Thayer</t>
  </si>
  <si>
    <t>Benefit (30.6%)</t>
  </si>
  <si>
    <t>Subtotal</t>
  </si>
  <si>
    <t>Special Overhead (13%)</t>
  </si>
  <si>
    <t>Annual Salary With Overhead</t>
  </si>
  <si>
    <t>Godfrey</t>
  </si>
  <si>
    <t>Operations Engineer</t>
  </si>
  <si>
    <t>Engineer</t>
  </si>
  <si>
    <t>2. Computing - SAS</t>
  </si>
  <si>
    <t>Disk, boxes, servers, and tapes</t>
  </si>
  <si>
    <t>Total With Overhead</t>
  </si>
  <si>
    <t>3. Publication</t>
  </si>
  <si>
    <t>(1)</t>
  </si>
  <si>
    <t>Page charges</t>
  </si>
  <si>
    <t>4. Living and Travel Expenses</t>
  </si>
  <si>
    <t>1 Analysis Coordinator Travel</t>
  </si>
  <si>
    <t>5. Computing Coordinator Travel</t>
  </si>
  <si>
    <t>Travel Costs</t>
  </si>
  <si>
    <t>6. Sustaining Engineering Support</t>
  </si>
  <si>
    <t>(2)</t>
  </si>
  <si>
    <t xml:space="preserve">DAQ-NYCB </t>
  </si>
  <si>
    <t>GLAST OCF Total (a)</t>
  </si>
  <si>
    <t>CY09 Underrun</t>
  </si>
  <si>
    <t>Computing Carry Forward</t>
  </si>
  <si>
    <t>(3)</t>
  </si>
  <si>
    <t>CY10 Overrun</t>
  </si>
  <si>
    <t>(4)</t>
  </si>
  <si>
    <t>Net to Invoice</t>
  </si>
  <si>
    <t>Footnotes:</t>
  </si>
  <si>
    <t>(1) Publication: CAT I publication costs covered by Stanford/NASA contract</t>
  </si>
  <si>
    <t>(2) Sustaining Engineering Support: costs covered by Stanford/ NASA contract</t>
    <phoneticPr fontId="2" type="noConversion"/>
  </si>
  <si>
    <t>(3) Computing - SAS: purchases were delayed due to the Oracle/Sun transition. Items will be purchased in CY11</t>
  </si>
  <si>
    <t>(4) CY10 IFC budget overrun absorbed by US agencies</t>
    <phoneticPr fontId="2" type="noConversion"/>
  </si>
  <si>
    <t>CY12</t>
  </si>
  <si>
    <t>Table 4. Contribution to the Operation Of FGST</t>
  </si>
  <si>
    <t>Based on OCF Collaborative Membership Count As of  Sept 2010</t>
  </si>
  <si>
    <t>When using SV = 6500, calc'd Common Fund in 2012 USD should be =</t>
  </si>
  <si>
    <t xml:space="preserve">Approved Budget for OCF 2012 = </t>
  </si>
  <si>
    <t>A. Collaborator</t>
  </si>
  <si>
    <t>B. Membership Category</t>
  </si>
  <si>
    <t>C. Fractional Share of OCF</t>
  </si>
  <si>
    <t>D. Share of OCF</t>
  </si>
  <si>
    <t xml:space="preserve">E. </t>
  </si>
  <si>
    <t>F.</t>
  </si>
  <si>
    <t>G.</t>
  </si>
  <si>
    <t>H.</t>
  </si>
  <si>
    <t>I.</t>
  </si>
  <si>
    <t>Member</t>
  </si>
  <si>
    <t>Affliliated Scientist</t>
  </si>
  <si>
    <t>Postdoc</t>
  </si>
  <si>
    <t>Full Member + 0.2*Affiliated Scientists + Postdocs</t>
  </si>
  <si>
    <t># of Collaborator</t>
  </si>
  <si>
    <t>If @$6,500/Share Per IFC Agreement</t>
  </si>
  <si>
    <t>CY 2011 Invoice Based on Budget Proposed</t>
  </si>
  <si>
    <t xml:space="preserve"> 2011 Invoice Modified by 10 UnderRun</t>
  </si>
  <si>
    <t>Revised to Absorb Unpaying Countries</t>
  </si>
  <si>
    <t>2011 Effective $/Share</t>
  </si>
  <si>
    <t>France</t>
  </si>
  <si>
    <t xml:space="preserve">    CEA</t>
  </si>
  <si>
    <t xml:space="preserve">    IN2P3</t>
  </si>
  <si>
    <t>Italy</t>
  </si>
  <si>
    <t xml:space="preserve">     ASI</t>
  </si>
  <si>
    <t xml:space="preserve">     INFN</t>
  </si>
  <si>
    <t>Germany</t>
  </si>
  <si>
    <t>Australia</t>
  </si>
  <si>
    <t>Great Britain</t>
  </si>
  <si>
    <t>Spain</t>
  </si>
  <si>
    <t>Austria</t>
  </si>
  <si>
    <t>Japan</t>
  </si>
  <si>
    <t>Sweden</t>
  </si>
  <si>
    <t>USA</t>
  </si>
  <si>
    <t xml:space="preserve">     DOE</t>
  </si>
  <si>
    <t xml:space="preserve">     NASA &amp; Other</t>
  </si>
  <si>
    <t>NASA Only</t>
  </si>
  <si>
    <t xml:space="preserve">     other</t>
  </si>
  <si>
    <t>Total Paying Member</t>
  </si>
  <si>
    <t>Total Non-Paying Member</t>
  </si>
  <si>
    <t>Grand Total</t>
  </si>
  <si>
    <t>*Note:</t>
  </si>
  <si>
    <t>[1] Headcount from Germany, Australia, Great Britain, Spain, and Austria are not included in the invoice calculation.</t>
  </si>
  <si>
    <t>[2] Four full members from non-IFC countries have been absorbed by DOE and NASA. Germany = 1, Spain = 1, Austria = 2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</si>
</sst>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0\-0000"/>
    <numFmt numFmtId="167" formatCode="_(* #,##0.000_);_(* \(#,##0.000\);_(* &quot;-&quot;??_);_(@_)"/>
    <numFmt numFmtId="168" formatCode="#,##0.000"/>
    <numFmt numFmtId="169" formatCode=";;;"/>
    <numFmt numFmtId="170" formatCode="_(* #,##0.0_);_(* \(#,##0.0\);_(* &quot;-&quot;??_);_(@_)"/>
    <numFmt numFmtId="171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9"/>
      <name val="Times New Roman"/>
      <family val="1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25">
      <alignment horizontal="center"/>
    </xf>
    <xf numFmtId="3" fontId="12" fillId="0" borderId="0" applyFont="0" applyFill="0" applyBorder="0" applyAlignment="0" applyProtection="0"/>
    <xf numFmtId="0" fontId="12" fillId="6" borderId="0" applyNumberFormat="0" applyFont="0" applyBorder="0" applyAlignment="0" applyProtection="0"/>
  </cellStyleXfs>
  <cellXfs count="183">
    <xf numFmtId="0" fontId="0" fillId="0" borderId="0" xfId="0"/>
    <xf numFmtId="0" fontId="3" fillId="0" borderId="0" xfId="2" applyFont="1"/>
    <xf numFmtId="0" fontId="4" fillId="0" borderId="0" xfId="3" applyFont="1" applyAlignment="1">
      <alignment vertical="center"/>
    </xf>
    <xf numFmtId="0" fontId="3" fillId="0" borderId="0" xfId="3" applyFont="1"/>
    <xf numFmtId="164" fontId="3" fillId="0" borderId="0" xfId="4" applyNumberFormat="1" applyFont="1"/>
    <xf numFmtId="164" fontId="3" fillId="0" borderId="0" xfId="4" applyNumberFormat="1" applyFont="1" applyBorder="1"/>
    <xf numFmtId="165" fontId="3" fillId="0" borderId="0" xfId="5" applyNumberFormat="1" applyFont="1"/>
    <xf numFmtId="0" fontId="3" fillId="0" borderId="1" xfId="2" applyFont="1" applyBorder="1" applyAlignment="1">
      <alignment vertical="center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166" fontId="5" fillId="0" borderId="4" xfId="4" applyNumberFormat="1" applyFont="1" applyBorder="1" applyAlignment="1">
      <alignment horizontal="center" vertical="center" wrapText="1"/>
    </xf>
    <xf numFmtId="164" fontId="5" fillId="0" borderId="5" xfId="4" applyNumberFormat="1" applyFont="1" applyBorder="1" applyAlignment="1">
      <alignment horizontal="center" vertical="center" wrapText="1"/>
    </xf>
    <xf numFmtId="164" fontId="5" fillId="0" borderId="6" xfId="4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165" fontId="3" fillId="0" borderId="0" xfId="5" applyNumberFormat="1" applyFont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3" applyFont="1" applyBorder="1" applyAlignment="1">
      <alignment horizontal="right" vertical="center"/>
    </xf>
    <xf numFmtId="164" fontId="5" fillId="0" borderId="4" xfId="4" applyNumberFormat="1" applyFont="1" applyBorder="1" applyAlignment="1">
      <alignment vertical="center"/>
    </xf>
    <xf numFmtId="164" fontId="5" fillId="0" borderId="7" xfId="4" applyNumberFormat="1" applyFont="1" applyFill="1" applyBorder="1" applyAlignment="1">
      <alignment vertical="center"/>
    </xf>
    <xf numFmtId="164" fontId="5" fillId="0" borderId="4" xfId="4" applyNumberFormat="1" applyFont="1" applyFill="1" applyBorder="1" applyAlignment="1">
      <alignment vertical="center"/>
    </xf>
    <xf numFmtId="49" fontId="5" fillId="0" borderId="4" xfId="4" applyNumberFormat="1" applyFont="1" applyFill="1" applyBorder="1" applyAlignment="1">
      <alignment vertical="center"/>
    </xf>
    <xf numFmtId="165" fontId="3" fillId="0" borderId="0" xfId="5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right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/>
    <xf numFmtId="0" fontId="3" fillId="0" borderId="1" xfId="2" applyFont="1" applyBorder="1"/>
    <xf numFmtId="0" fontId="3" fillId="0" borderId="8" xfId="3" applyFont="1" applyBorder="1"/>
    <xf numFmtId="0" fontId="3" fillId="0" borderId="0" xfId="3" applyFont="1" applyBorder="1" applyAlignment="1">
      <alignment horizontal="right"/>
    </xf>
    <xf numFmtId="164" fontId="3" fillId="0" borderId="9" xfId="4" applyNumberFormat="1" applyFont="1" applyBorder="1"/>
    <xf numFmtId="164" fontId="5" fillId="0" borderId="5" xfId="4" applyNumberFormat="1" applyFont="1" applyBorder="1"/>
    <xf numFmtId="164" fontId="5" fillId="0" borderId="9" xfId="4" applyNumberFormat="1" applyFont="1" applyBorder="1"/>
    <xf numFmtId="164" fontId="5" fillId="0" borderId="6" xfId="4" applyNumberFormat="1" applyFont="1" applyBorder="1"/>
    <xf numFmtId="49" fontId="5" fillId="0" borderId="9" xfId="4" applyNumberFormat="1" applyFont="1" applyBorder="1"/>
    <xf numFmtId="164" fontId="5" fillId="0" borderId="1" xfId="4" applyNumberFormat="1" applyFont="1" applyBorder="1"/>
    <xf numFmtId="165" fontId="3" fillId="0" borderId="0" xfId="5" applyNumberFormat="1" applyFont="1" applyBorder="1"/>
    <xf numFmtId="165" fontId="3" fillId="0" borderId="0" xfId="5" applyNumberFormat="1" applyFont="1" applyFill="1" applyBorder="1"/>
    <xf numFmtId="0" fontId="3" fillId="0" borderId="0" xfId="2" applyFont="1" applyFill="1" applyBorder="1"/>
    <xf numFmtId="165" fontId="3" fillId="0" borderId="0" xfId="2" applyNumberFormat="1" applyFont="1" applyFill="1" applyBorder="1"/>
    <xf numFmtId="164" fontId="3" fillId="0" borderId="1" xfId="4" applyNumberFormat="1" applyFont="1" applyBorder="1"/>
    <xf numFmtId="167" fontId="3" fillId="0" borderId="0" xfId="5" applyNumberFormat="1" applyFont="1" applyBorder="1" applyAlignment="1">
      <alignment horizontal="right"/>
    </xf>
    <xf numFmtId="44" fontId="3" fillId="0" borderId="0" xfId="2" applyNumberFormat="1" applyFont="1"/>
    <xf numFmtId="0" fontId="3" fillId="0" borderId="0" xfId="3" applyFont="1" applyBorder="1" applyAlignment="1">
      <alignment horizontal="right" wrapText="1"/>
    </xf>
    <xf numFmtId="164" fontId="3" fillId="0" borderId="0" xfId="2" applyNumberFormat="1" applyFont="1" applyFill="1" applyBorder="1"/>
    <xf numFmtId="0" fontId="3" fillId="0" borderId="0" xfId="2" applyFont="1" applyBorder="1" applyAlignment="1">
      <alignment horizontal="right"/>
    </xf>
    <xf numFmtId="0" fontId="3" fillId="0" borderId="0" xfId="2" applyFont="1" applyAlignment="1">
      <alignment horizontal="right"/>
    </xf>
    <xf numFmtId="164" fontId="3" fillId="0" borderId="10" xfId="4" applyNumberFormat="1" applyFont="1" applyBorder="1"/>
    <xf numFmtId="164" fontId="3" fillId="0" borderId="10" xfId="4" applyNumberFormat="1" applyFont="1" applyBorder="1" applyAlignment="1">
      <alignment vertical="center"/>
    </xf>
    <xf numFmtId="49" fontId="6" fillId="0" borderId="4" xfId="4" quotePrefix="1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0" fontId="3" fillId="0" borderId="0" xfId="3" applyFont="1" applyFill="1" applyBorder="1" applyAlignment="1">
      <alignment horizontal="right"/>
    </xf>
    <xf numFmtId="164" fontId="3" fillId="0" borderId="9" xfId="4" applyNumberFormat="1" applyFont="1" applyFill="1" applyBorder="1"/>
    <xf numFmtId="164" fontId="5" fillId="0" borderId="1" xfId="4" applyNumberFormat="1" applyFont="1" applyFill="1" applyBorder="1"/>
    <xf numFmtId="164" fontId="5" fillId="0" borderId="9" xfId="4" applyNumberFormat="1" applyFont="1" applyFill="1" applyBorder="1"/>
    <xf numFmtId="49" fontId="5" fillId="0" borderId="9" xfId="4" applyNumberFormat="1" applyFont="1" applyFill="1" applyBorder="1"/>
    <xf numFmtId="164" fontId="3" fillId="0" borderId="1" xfId="4" applyNumberFormat="1" applyFont="1" applyFill="1" applyBorder="1"/>
    <xf numFmtId="0" fontId="7" fillId="0" borderId="0" xfId="2" applyFont="1"/>
    <xf numFmtId="164" fontId="3" fillId="0" borderId="10" xfId="4" applyNumberFormat="1" applyFont="1" applyFill="1" applyBorder="1"/>
    <xf numFmtId="164" fontId="5" fillId="0" borderId="7" xfId="3" applyNumberFormat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0" fontId="3" fillId="0" borderId="8" xfId="2" applyFont="1" applyBorder="1"/>
    <xf numFmtId="0" fontId="3" fillId="2" borderId="0" xfId="2" applyFont="1" applyFill="1"/>
    <xf numFmtId="0" fontId="3" fillId="0" borderId="4" xfId="2" applyFont="1" applyBorder="1" applyAlignment="1">
      <alignment vertical="center"/>
    </xf>
    <xf numFmtId="0" fontId="3" fillId="0" borderId="0" xfId="2" applyFont="1" applyFill="1"/>
    <xf numFmtId="165" fontId="3" fillId="0" borderId="0" xfId="5" applyNumberFormat="1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164" fontId="3" fillId="0" borderId="5" xfId="4" applyNumberFormat="1" applyFont="1" applyBorder="1"/>
    <xf numFmtId="164" fontId="3" fillId="0" borderId="6" xfId="4" applyNumberFormat="1" applyFont="1" applyBorder="1"/>
    <xf numFmtId="49" fontId="3" fillId="0" borderId="9" xfId="4" applyNumberFormat="1" applyFont="1" applyBorder="1"/>
    <xf numFmtId="3" fontId="3" fillId="0" borderId="0" xfId="2" applyNumberFormat="1" applyFont="1" applyFill="1"/>
    <xf numFmtId="168" fontId="3" fillId="0" borderId="0" xfId="2" applyNumberFormat="1" applyFont="1" applyFill="1"/>
    <xf numFmtId="3" fontId="3" fillId="0" borderId="0" xfId="2" applyNumberFormat="1" applyFont="1"/>
    <xf numFmtId="164" fontId="5" fillId="0" borderId="11" xfId="4" applyNumberFormat="1" applyFont="1" applyBorder="1"/>
    <xf numFmtId="164" fontId="5" fillId="0" borderId="10" xfId="4" applyNumberFormat="1" applyFont="1" applyBorder="1"/>
    <xf numFmtId="0" fontId="3" fillId="0" borderId="2" xfId="3" applyFont="1" applyFill="1" applyBorder="1"/>
    <xf numFmtId="0" fontId="3" fillId="0" borderId="3" xfId="3" applyFont="1" applyFill="1" applyBorder="1" applyAlignment="1">
      <alignment horizontal="right"/>
    </xf>
    <xf numFmtId="164" fontId="5" fillId="0" borderId="7" xfId="4" applyNumberFormat="1" applyFont="1" applyFill="1" applyBorder="1"/>
    <xf numFmtId="164" fontId="5" fillId="0" borderId="4" xfId="4" applyNumberFormat="1" applyFont="1" applyFill="1" applyBorder="1"/>
    <xf numFmtId="0" fontId="8" fillId="0" borderId="1" xfId="2" applyFont="1" applyBorder="1"/>
    <xf numFmtId="0" fontId="3" fillId="3" borderId="2" xfId="3" applyFont="1" applyFill="1" applyBorder="1"/>
    <xf numFmtId="0" fontId="3" fillId="3" borderId="3" xfId="3" applyFont="1" applyFill="1" applyBorder="1"/>
    <xf numFmtId="0" fontId="3" fillId="3" borderId="10" xfId="3" applyFont="1" applyFill="1" applyBorder="1"/>
    <xf numFmtId="164" fontId="5" fillId="3" borderId="7" xfId="4" applyNumberFormat="1" applyFont="1" applyFill="1" applyBorder="1"/>
    <xf numFmtId="164" fontId="5" fillId="3" borderId="4" xfId="4" applyNumberFormat="1" applyFont="1" applyFill="1" applyBorder="1"/>
    <xf numFmtId="49" fontId="5" fillId="0" borderId="6" xfId="4" applyNumberFormat="1" applyFont="1" applyFill="1" applyBorder="1"/>
    <xf numFmtId="164" fontId="9" fillId="0" borderId="0" xfId="4" applyNumberFormat="1" applyFont="1" applyFill="1" applyBorder="1"/>
    <xf numFmtId="0" fontId="8" fillId="0" borderId="0" xfId="2" applyFont="1"/>
    <xf numFmtId="0" fontId="3" fillId="3" borderId="4" xfId="3" applyFont="1" applyFill="1" applyBorder="1"/>
    <xf numFmtId="49" fontId="5" fillId="0" borderId="4" xfId="4" applyNumberFormat="1" applyFont="1" applyFill="1" applyBorder="1"/>
    <xf numFmtId="165" fontId="8" fillId="0" borderId="0" xfId="5" applyNumberFormat="1" applyFont="1"/>
    <xf numFmtId="49" fontId="6" fillId="0" borderId="4" xfId="4" quotePrefix="1" applyNumberFormat="1" applyFont="1" applyFill="1" applyBorder="1" applyAlignment="1">
      <alignment horizontal="center"/>
    </xf>
    <xf numFmtId="49" fontId="5" fillId="0" borderId="10" xfId="4" applyNumberFormat="1" applyFont="1" applyFill="1" applyBorder="1"/>
    <xf numFmtId="49" fontId="3" fillId="0" borderId="0" xfId="2" applyNumberFormat="1" applyFont="1" applyBorder="1"/>
    <xf numFmtId="0" fontId="3" fillId="0" borderId="0" xfId="2" applyFont="1" applyAlignment="1">
      <alignment horizontal="left"/>
    </xf>
    <xf numFmtId="0" fontId="5" fillId="0" borderId="0" xfId="2" applyFont="1"/>
    <xf numFmtId="164" fontId="3" fillId="0" borderId="0" xfId="4" applyNumberFormat="1" applyFont="1" applyAlignment="1">
      <alignment horizontal="center"/>
    </xf>
    <xf numFmtId="44" fontId="10" fillId="0" borderId="0" xfId="4" applyFont="1" applyFill="1"/>
    <xf numFmtId="169" fontId="3" fillId="0" borderId="0" xfId="4" applyNumberFormat="1" applyFont="1" applyAlignment="1">
      <alignment horizontal="center"/>
    </xf>
    <xf numFmtId="164" fontId="3" fillId="0" borderId="0" xfId="4" applyNumberFormat="1" applyFont="1" applyFill="1" applyAlignment="1">
      <alignment horizontal="center"/>
    </xf>
    <xf numFmtId="0" fontId="5" fillId="0" borderId="12" xfId="2" applyFont="1" applyFill="1" applyBorder="1"/>
    <xf numFmtId="0" fontId="5" fillId="0" borderId="12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166" fontId="5" fillId="0" borderId="7" xfId="2" applyNumberFormat="1" applyFont="1" applyFill="1" applyBorder="1" applyAlignment="1">
      <alignment horizontal="center" wrapText="1"/>
    </xf>
    <xf numFmtId="166" fontId="5" fillId="0" borderId="2" xfId="2" applyNumberFormat="1" applyFont="1" applyFill="1" applyBorder="1" applyAlignment="1">
      <alignment horizontal="center" wrapText="1"/>
    </xf>
    <xf numFmtId="166" fontId="5" fillId="0" borderId="3" xfId="2" applyNumberFormat="1" applyFont="1" applyFill="1" applyBorder="1" applyAlignment="1">
      <alignment horizontal="center" wrapText="1"/>
    </xf>
    <xf numFmtId="166" fontId="5" fillId="0" borderId="4" xfId="2" applyNumberFormat="1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3" fillId="0" borderId="0" xfId="6" applyFont="1" applyAlignment="1" applyProtection="1"/>
    <xf numFmtId="0" fontId="3" fillId="0" borderId="2" xfId="2" applyFont="1" applyFill="1" applyBorder="1"/>
    <xf numFmtId="0" fontId="3" fillId="0" borderId="2" xfId="2" applyFont="1" applyBorder="1"/>
    <xf numFmtId="166" fontId="3" fillId="0" borderId="3" xfId="2" applyNumberFormat="1" applyFont="1" applyFill="1" applyBorder="1" applyAlignment="1">
      <alignment horizontal="center" wrapText="1"/>
    </xf>
    <xf numFmtId="166" fontId="3" fillId="0" borderId="4" xfId="2" applyNumberFormat="1" applyFont="1" applyFill="1" applyBorder="1" applyAlignment="1">
      <alignment horizontal="center" wrapText="1"/>
    </xf>
    <xf numFmtId="164" fontId="3" fillId="0" borderId="3" xfId="4" applyNumberFormat="1" applyFont="1" applyFill="1" applyBorder="1" applyAlignment="1">
      <alignment horizontal="center" wrapText="1"/>
    </xf>
    <xf numFmtId="164" fontId="3" fillId="0" borderId="4" xfId="4" applyNumberFormat="1" applyFont="1" applyFill="1" applyBorder="1" applyAlignment="1">
      <alignment horizontal="center" wrapText="1"/>
    </xf>
    <xf numFmtId="164" fontId="3" fillId="4" borderId="4" xfId="4" applyNumberFormat="1" applyFont="1" applyFill="1" applyBorder="1" applyAlignment="1">
      <alignment horizontal="center" wrapText="1"/>
    </xf>
    <xf numFmtId="0" fontId="2" fillId="0" borderId="0" xfId="2"/>
    <xf numFmtId="0" fontId="3" fillId="0" borderId="8" xfId="2" applyFont="1" applyFill="1" applyBorder="1"/>
    <xf numFmtId="9" fontId="3" fillId="0" borderId="9" xfId="7" applyFont="1" applyFill="1" applyBorder="1" applyAlignment="1">
      <alignment horizontal="center"/>
    </xf>
    <xf numFmtId="170" fontId="3" fillId="0" borderId="0" xfId="5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right"/>
    </xf>
    <xf numFmtId="164" fontId="3" fillId="0" borderId="9" xfId="4" applyNumberFormat="1" applyFont="1" applyFill="1" applyBorder="1" applyAlignment="1">
      <alignment horizontal="right"/>
    </xf>
    <xf numFmtId="164" fontId="3" fillId="4" borderId="9" xfId="4" applyNumberFormat="1" applyFont="1" applyFill="1" applyBorder="1" applyAlignment="1">
      <alignment horizontal="right"/>
    </xf>
    <xf numFmtId="0" fontId="3" fillId="0" borderId="8" xfId="2" applyFont="1" applyFill="1" applyBorder="1" applyAlignment="1">
      <alignment horizontal="right"/>
    </xf>
    <xf numFmtId="164" fontId="3" fillId="0" borderId="0" xfId="4" applyNumberFormat="1" applyFont="1" applyFill="1" applyBorder="1"/>
    <xf numFmtId="165" fontId="3" fillId="0" borderId="9" xfId="5" applyNumberFormat="1" applyFont="1" applyFill="1" applyBorder="1"/>
    <xf numFmtId="165" fontId="3" fillId="4" borderId="9" xfId="5" applyNumberFormat="1" applyFont="1" applyFill="1" applyBorder="1"/>
    <xf numFmtId="164" fontId="3" fillId="4" borderId="9" xfId="4" applyNumberFormat="1" applyFont="1" applyFill="1" applyBorder="1"/>
    <xf numFmtId="0" fontId="3" fillId="5" borderId="8" xfId="2" applyFont="1" applyFill="1" applyBorder="1"/>
    <xf numFmtId="0" fontId="3" fillId="5" borderId="0" xfId="2" applyFont="1" applyFill="1" applyBorder="1"/>
    <xf numFmtId="9" fontId="3" fillId="5" borderId="9" xfId="7" applyFont="1" applyFill="1" applyBorder="1" applyAlignment="1">
      <alignment horizontal="center"/>
    </xf>
    <xf numFmtId="170" fontId="3" fillId="5" borderId="0" xfId="5" applyNumberFormat="1" applyFont="1" applyFill="1" applyBorder="1" applyAlignment="1">
      <alignment horizontal="center"/>
    </xf>
    <xf numFmtId="164" fontId="3" fillId="5" borderId="0" xfId="4" applyNumberFormat="1" applyFont="1" applyFill="1" applyBorder="1" applyAlignment="1">
      <alignment horizontal="right"/>
    </xf>
    <xf numFmtId="164" fontId="3" fillId="5" borderId="9" xfId="4" applyNumberFormat="1" applyFont="1" applyFill="1" applyBorder="1" applyAlignment="1">
      <alignment horizontal="right"/>
    </xf>
    <xf numFmtId="170" fontId="3" fillId="0" borderId="0" xfId="2" applyNumberFormat="1" applyFont="1"/>
    <xf numFmtId="164" fontId="3" fillId="5" borderId="0" xfId="4" applyNumberFormat="1" applyFont="1" applyFill="1" applyBorder="1"/>
    <xf numFmtId="164" fontId="3" fillId="5" borderId="9" xfId="4" applyNumberFormat="1" applyFont="1" applyFill="1" applyBorder="1"/>
    <xf numFmtId="164" fontId="2" fillId="0" borderId="0" xfId="2" applyNumberFormat="1"/>
    <xf numFmtId="164" fontId="2" fillId="0" borderId="0" xfId="2" applyNumberFormat="1" applyFill="1"/>
    <xf numFmtId="0" fontId="2" fillId="0" borderId="0" xfId="2" applyFill="1"/>
    <xf numFmtId="0" fontId="3" fillId="4" borderId="8" xfId="2" applyFont="1" applyFill="1" applyBorder="1" applyAlignment="1">
      <alignment horizontal="right"/>
    </xf>
    <xf numFmtId="0" fontId="3" fillId="4" borderId="8" xfId="2" applyFont="1" applyFill="1" applyBorder="1"/>
    <xf numFmtId="0" fontId="3" fillId="4" borderId="0" xfId="2" applyFont="1" applyFill="1" applyBorder="1"/>
    <xf numFmtId="9" fontId="3" fillId="4" borderId="9" xfId="7" applyFont="1" applyFill="1" applyBorder="1" applyAlignment="1">
      <alignment horizontal="center"/>
    </xf>
    <xf numFmtId="170" fontId="3" fillId="4" borderId="0" xfId="5" applyNumberFormat="1" applyFont="1" applyFill="1" applyBorder="1" applyAlignment="1">
      <alignment horizontal="center"/>
    </xf>
    <xf numFmtId="164" fontId="3" fillId="4" borderId="0" xfId="4" applyNumberFormat="1" applyFont="1" applyFill="1" applyBorder="1"/>
    <xf numFmtId="0" fontId="3" fillId="0" borderId="14" xfId="2" applyFont="1" applyFill="1" applyBorder="1"/>
    <xf numFmtId="0" fontId="3" fillId="0" borderId="12" xfId="2" applyFont="1" applyFill="1" applyBorder="1"/>
    <xf numFmtId="0" fontId="3" fillId="0" borderId="13" xfId="2" applyFont="1" applyFill="1" applyBorder="1"/>
    <xf numFmtId="9" fontId="3" fillId="0" borderId="6" xfId="7" applyFont="1" applyFill="1" applyBorder="1" applyAlignment="1">
      <alignment horizontal="center"/>
    </xf>
    <xf numFmtId="170" fontId="3" fillId="0" borderId="13" xfId="5" applyNumberFormat="1" applyFont="1" applyFill="1" applyBorder="1" applyAlignment="1">
      <alignment horizontal="center"/>
    </xf>
    <xf numFmtId="164" fontId="3" fillId="0" borderId="13" xfId="4" applyNumberFormat="1" applyFont="1" applyFill="1" applyBorder="1" applyAlignment="1">
      <alignment horizontal="right"/>
    </xf>
    <xf numFmtId="164" fontId="3" fillId="0" borderId="6" xfId="4" applyNumberFormat="1" applyFont="1" applyFill="1" applyBorder="1" applyAlignment="1">
      <alignment horizontal="right"/>
    </xf>
    <xf numFmtId="164" fontId="3" fillId="4" borderId="6" xfId="4" applyNumberFormat="1" applyFont="1" applyFill="1" applyBorder="1" applyAlignment="1">
      <alignment horizontal="right"/>
    </xf>
    <xf numFmtId="164" fontId="3" fillId="0" borderId="15" xfId="4" applyNumberFormat="1" applyFont="1" applyFill="1" applyBorder="1" applyAlignment="1">
      <alignment horizontal="right"/>
    </xf>
    <xf numFmtId="164" fontId="2" fillId="0" borderId="0" xfId="2" applyNumberFormat="1" applyBorder="1"/>
    <xf numFmtId="0" fontId="2" fillId="0" borderId="0" xfId="2" applyBorder="1"/>
    <xf numFmtId="0" fontId="3" fillId="0" borderId="0" xfId="2" applyFont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9" fontId="3" fillId="0" borderId="10" xfId="7" applyFont="1" applyFill="1" applyBorder="1" applyAlignment="1">
      <alignment horizontal="center"/>
    </xf>
    <xf numFmtId="170" fontId="3" fillId="0" borderId="18" xfId="5" applyNumberFormat="1" applyFont="1" applyFill="1" applyBorder="1" applyAlignment="1">
      <alignment horizontal="center"/>
    </xf>
    <xf numFmtId="164" fontId="3" fillId="0" borderId="18" xfId="4" applyNumberFormat="1" applyFont="1" applyFill="1" applyBorder="1" applyAlignment="1">
      <alignment horizontal="right"/>
    </xf>
    <xf numFmtId="164" fontId="3" fillId="0" borderId="10" xfId="4" applyNumberFormat="1" applyFont="1" applyFill="1" applyBorder="1" applyAlignment="1">
      <alignment horizontal="right"/>
    </xf>
    <xf numFmtId="164" fontId="3" fillId="4" borderId="10" xfId="4" applyNumberFormat="1" applyFont="1" applyFill="1" applyBorder="1" applyAlignment="1">
      <alignment horizontal="right"/>
    </xf>
    <xf numFmtId="164" fontId="3" fillId="0" borderId="19" xfId="4" applyNumberFormat="1" applyFont="1" applyFill="1" applyBorder="1" applyAlignment="1">
      <alignment horizontal="right"/>
    </xf>
    <xf numFmtId="165" fontId="3" fillId="0" borderId="0" xfId="1" applyNumberFormat="1" applyFont="1" applyBorder="1"/>
    <xf numFmtId="0" fontId="3" fillId="0" borderId="20" xfId="2" applyFont="1" applyBorder="1"/>
    <xf numFmtId="0" fontId="3" fillId="0" borderId="21" xfId="2" applyFont="1" applyBorder="1"/>
    <xf numFmtId="9" fontId="3" fillId="0" borderId="22" xfId="7" applyFont="1" applyFill="1" applyBorder="1" applyAlignment="1">
      <alignment horizontal="center"/>
    </xf>
    <xf numFmtId="170" fontId="3" fillId="0" borderId="21" xfId="5" applyNumberFormat="1" applyFont="1" applyFill="1" applyBorder="1" applyAlignment="1">
      <alignment horizontal="center"/>
    </xf>
    <xf numFmtId="164" fontId="3" fillId="0" borderId="21" xfId="4" applyNumberFormat="1" applyFont="1" applyFill="1" applyBorder="1" applyAlignment="1">
      <alignment horizontal="right"/>
    </xf>
    <xf numFmtId="164" fontId="3" fillId="0" borderId="23" xfId="4" applyNumberFormat="1" applyFont="1" applyFill="1" applyBorder="1" applyAlignment="1">
      <alignment horizontal="right"/>
    </xf>
    <xf numFmtId="164" fontId="3" fillId="4" borderId="23" xfId="4" applyNumberFormat="1" applyFont="1" applyFill="1" applyBorder="1" applyAlignment="1">
      <alignment horizontal="right"/>
    </xf>
    <xf numFmtId="164" fontId="3" fillId="0" borderId="24" xfId="4" applyNumberFormat="1" applyFont="1" applyFill="1" applyBorder="1" applyAlignment="1">
      <alignment horizontal="right"/>
    </xf>
    <xf numFmtId="165" fontId="3" fillId="0" borderId="0" xfId="1" applyNumberFormat="1" applyFont="1"/>
    <xf numFmtId="44" fontId="3" fillId="0" borderId="0" xfId="4" applyFont="1" applyFill="1"/>
    <xf numFmtId="44" fontId="3" fillId="0" borderId="0" xfId="4" applyFont="1"/>
    <xf numFmtId="171" fontId="3" fillId="0" borderId="0" xfId="2" quotePrefix="1" applyNumberFormat="1" applyFont="1"/>
    <xf numFmtId="43" fontId="3" fillId="0" borderId="0" xfId="2" applyNumberFormat="1" applyFont="1"/>
    <xf numFmtId="165" fontId="3" fillId="0" borderId="0" xfId="2" applyNumberFormat="1" applyFont="1"/>
  </cellXfs>
  <cellStyles count="16">
    <cellStyle name="Comma" xfId="1" builtinId="3"/>
    <cellStyle name="Comma 2" xfId="5"/>
    <cellStyle name="Currency 2" xfId="4"/>
    <cellStyle name="Hyperlink" xfId="6" builtinId="8"/>
    <cellStyle name="Hyperlink 2" xfId="8"/>
    <cellStyle name="Normal" xfId="0" builtinId="0"/>
    <cellStyle name="Normal 2" xfId="2"/>
    <cellStyle name="Normal 3" xfId="9"/>
    <cellStyle name="Normal_IFC Budget and Shares 2" xfId="3"/>
    <cellStyle name="Percent 2" xfId="7"/>
    <cellStyle name="PSChar" xfId="10"/>
    <cellStyle name="PSDate" xfId="11"/>
    <cellStyle name="PSDec" xfId="12"/>
    <cellStyle name="PSHeading" xfId="13"/>
    <cellStyle name="PSInt" xfId="14"/>
    <cellStyle name="PSSpacer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LindaPrice/Costs/FY10/1007/FGST%20OCF%20July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/Research%20Division/KIPAC/Travel/FY07%20KIPAC%20Travel%20Log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PA/KIPAC/Travel/FY08%20KIPAC%20Travel%20L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michelson/Library/Mail%20Downloads/FGST%20OCF%20Dec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GST%20OCF%20CY10-CY12%20budget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LindaPrice/PROJECTS/IFC/12-09%20FGST%20OCF%20%20Summary%20R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DPlanning/Admin/FY05/Aug-05/23%20BaBar%20NON_OCF%20Summary%20Aug-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__Data/_CurrentData/GroupPlo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DPlanning/Admin/FY05/Aug-05/GroupPlo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PA/G%20L%20A%20S%20T/Travel/FY08%20GLAST%20Travel%20Lo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%20Division/AARD/FY07%20Budget/AARD%20FY07%20Budget%20Template_R.%20Sieman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Y10 Plan &amp; Actuals"/>
      <sheetName val="CY11 Shares and Contributions"/>
      <sheetName val="CY10 Shares and Contributions"/>
      <sheetName val="CY11 Plan detail"/>
      <sheetName val="Tosti"/>
      <sheetName val="Tbl 2 Out Year Budget"/>
      <sheetName val="CY10 Costs by Month"/>
      <sheetName val="Commitments"/>
      <sheetName val="CY10 Invoicing &amp; Payments"/>
      <sheetName val="Jap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>
            <v>328931.77544784005</v>
          </cell>
        </row>
        <row r="6">
          <cell r="D6">
            <v>116955.648</v>
          </cell>
        </row>
        <row r="9">
          <cell r="D9">
            <v>19856.729917440003</v>
          </cell>
        </row>
        <row r="10">
          <cell r="D10">
            <v>172600.80620544002</v>
          </cell>
        </row>
        <row r="12">
          <cell r="D12">
            <v>105931.08</v>
          </cell>
        </row>
        <row r="16">
          <cell r="D16">
            <v>156330.96924240002</v>
          </cell>
        </row>
        <row r="18">
          <cell r="E18">
            <v>678000</v>
          </cell>
        </row>
        <row r="19">
          <cell r="D19">
            <v>600000</v>
          </cell>
        </row>
        <row r="22">
          <cell r="D22">
            <v>678000</v>
          </cell>
        </row>
        <row r="24">
          <cell r="E24">
            <v>24000</v>
          </cell>
        </row>
        <row r="29">
          <cell r="E29">
            <v>100183.99200000001</v>
          </cell>
        </row>
        <row r="33">
          <cell r="D33">
            <v>100183.99200000001</v>
          </cell>
        </row>
        <row r="36">
          <cell r="E36">
            <v>11300</v>
          </cell>
        </row>
        <row r="43">
          <cell r="E43">
            <v>66528</v>
          </cell>
        </row>
        <row r="45">
          <cell r="D45">
            <v>66528</v>
          </cell>
        </row>
      </sheetData>
      <sheetData sheetId="5" refreshError="1"/>
      <sheetData sheetId="6" refreshError="1"/>
      <sheetData sheetId="7" refreshError="1">
        <row r="7">
          <cell r="N7">
            <v>11.727</v>
          </cell>
        </row>
        <row r="9">
          <cell r="N9">
            <v>206.51702</v>
          </cell>
        </row>
        <row r="10">
          <cell r="N10">
            <v>190.53242999999998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PAC (Admin) Input"/>
      <sheetName val="KIPAC (Comp) Input"/>
      <sheetName val="KIPAC (Phys) Input"/>
      <sheetName val="KIPAC (LSST) Input"/>
      <sheetName val="KIPAC (SNAP) Input"/>
      <sheetName val="Non-DOE Input"/>
      <sheetName val="Low Priority Input"/>
      <sheetName val="KIPAC (Admin) Report"/>
      <sheetName val="KIPAC (Phys) Report"/>
      <sheetName val="KIPAC (LSST) Report"/>
      <sheetName val="KIPAC (SNAP) Report"/>
      <sheetName val="KIPAC (Comp) Report"/>
      <sheetName val="Non-DOE Report"/>
      <sheetName val="Low Priority Repor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>
            <v>115301</v>
          </cell>
        </row>
        <row r="3">
          <cell r="C3">
            <v>115302</v>
          </cell>
        </row>
        <row r="4">
          <cell r="C4">
            <v>115303</v>
          </cell>
        </row>
        <row r="5">
          <cell r="C5">
            <v>115304</v>
          </cell>
        </row>
        <row r="6">
          <cell r="C6">
            <v>115305</v>
          </cell>
        </row>
        <row r="7">
          <cell r="C7">
            <v>155310</v>
          </cell>
        </row>
        <row r="8">
          <cell r="C8">
            <v>155311</v>
          </cell>
        </row>
        <row r="9">
          <cell r="C9">
            <v>155320</v>
          </cell>
        </row>
        <row r="10">
          <cell r="C10">
            <v>1153012</v>
          </cell>
        </row>
        <row r="11">
          <cell r="C11">
            <v>1153201</v>
          </cell>
        </row>
        <row r="12">
          <cell r="C12">
            <v>2691100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PAC (Admin) Input"/>
      <sheetName val="KIPAC (Comp) Input"/>
      <sheetName val="KIPAC (Phys) Input"/>
      <sheetName val="KIPAC (LSST) Input"/>
      <sheetName val="KIPAC (SciDac) Input"/>
      <sheetName val="KIPAC (TevPA) Input"/>
      <sheetName val="Non-DOE Input"/>
      <sheetName val="LSST Gift Input"/>
      <sheetName val="KIPAC (Admin) Report"/>
      <sheetName val="KIPAC (Comp) Report"/>
      <sheetName val="KIPAC (Phys) Report"/>
      <sheetName val="KIPAC (LSST) Report"/>
      <sheetName val="KIPAC (SciDac) Report"/>
      <sheetName val="KIPAC (SciDac) Report (2)"/>
      <sheetName val="Non-DOE Report"/>
      <sheetName val="LSST Gift Report"/>
      <sheetName val="Validation"/>
      <sheetName val="Low Priority Input"/>
      <sheetName val="Low Prior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_Petty Cash</v>
          </cell>
        </row>
        <row r="3">
          <cell r="A3" t="str">
            <v>Abel,Thomas G.</v>
          </cell>
        </row>
        <row r="4">
          <cell r="A4" t="str">
            <v>Akiyama,Shizuka</v>
          </cell>
        </row>
        <row r="5">
          <cell r="A5" t="str">
            <v>Allen,Steven Ward</v>
          </cell>
        </row>
        <row r="6">
          <cell r="A6" t="str">
            <v>Becla,Jacek</v>
          </cell>
        </row>
        <row r="7">
          <cell r="A7" t="str">
            <v>Blandford,Roger D.</v>
          </cell>
        </row>
        <row r="8">
          <cell r="A8" t="str">
            <v>Bouvier,Aurelien</v>
          </cell>
        </row>
        <row r="9">
          <cell r="A9" t="str">
            <v>Burke,David L.</v>
          </cell>
        </row>
        <row r="10">
          <cell r="A10" t="str">
            <v>Chang,Chihway</v>
          </cell>
        </row>
        <row r="11">
          <cell r="A11" t="str">
            <v>Chen,Pisin</v>
          </cell>
        </row>
        <row r="12">
          <cell r="A12" t="str">
            <v>Dai,Lixin</v>
          </cell>
        </row>
        <row r="13">
          <cell r="A13" t="str">
            <v>Dubois-Felsmann,Gregory Peter</v>
          </cell>
        </row>
        <row r="14">
          <cell r="A14" t="str">
            <v>Escala,Andres</v>
          </cell>
        </row>
        <row r="15">
          <cell r="A15" t="str">
            <v>Foss,Michael D.</v>
          </cell>
        </row>
        <row r="16">
          <cell r="A16" t="str">
            <v>Fouts III,Kenneth A.</v>
          </cell>
        </row>
        <row r="17">
          <cell r="A17" t="str">
            <v>Funk,Stefan</v>
          </cell>
        </row>
        <row r="18">
          <cell r="A18" t="str">
            <v>Gerke,Brian F.</v>
          </cell>
        </row>
        <row r="19">
          <cell r="A19" t="str">
            <v>Gilmore,David K.</v>
          </cell>
        </row>
        <row r="20">
          <cell r="A20" t="str">
            <v>Huffer,Michael E.</v>
          </cell>
        </row>
        <row r="21">
          <cell r="A21" t="str">
            <v>Kaehler,Ralf</v>
          </cell>
        </row>
        <row r="22">
          <cell r="A22" t="str">
            <v>Kahn,Steven M.</v>
          </cell>
        </row>
        <row r="23">
          <cell r="A23" t="str">
            <v>Kamae,Tuneyoshi</v>
          </cell>
        </row>
        <row r="24">
          <cell r="A24" t="str">
            <v>Kelly,Patrick</v>
          </cell>
        </row>
        <row r="25">
          <cell r="A25" t="str">
            <v>Kuo,Chao-Lin</v>
          </cell>
        </row>
        <row r="26">
          <cell r="A26" t="str">
            <v>Lavine,Theodore L.</v>
          </cell>
        </row>
        <row r="27">
          <cell r="A27" t="str">
            <v>Lee,Shiu Hang</v>
          </cell>
        </row>
        <row r="28">
          <cell r="A28" t="str">
            <v>Madejski,Grzegorz M.</v>
          </cell>
        </row>
        <row r="29">
          <cell r="A29" t="str">
            <v>Marshall,Stuart L</v>
          </cell>
        </row>
        <row r="30">
          <cell r="A30" t="str">
            <v>Morris,Roger G.</v>
          </cell>
        </row>
        <row r="31">
          <cell r="A31" t="str">
            <v>Mueller,Martin</v>
          </cell>
        </row>
        <row r="32">
          <cell r="A32" t="str">
            <v>Nordby,Martin E.</v>
          </cell>
        </row>
        <row r="33">
          <cell r="A33" t="str">
            <v>Oguri,Masamune</v>
          </cell>
        </row>
        <row r="34">
          <cell r="A34" t="str">
            <v>Rapetti Serra,David Angelo</v>
          </cell>
        </row>
        <row r="35">
          <cell r="A35" t="str">
            <v>Rasmussen,Andrew Peter</v>
          </cell>
        </row>
        <row r="36">
          <cell r="A36" t="str">
            <v>Reil,Kevin</v>
          </cell>
        </row>
        <row r="37">
          <cell r="A37" t="str">
            <v>Sapozhnikov,Leonid</v>
          </cell>
        </row>
        <row r="38">
          <cell r="A38" t="str">
            <v>Schindler,Rafe H.</v>
          </cell>
        </row>
        <row r="39">
          <cell r="A39" t="str">
            <v>Siegel,Martha</v>
          </cell>
        </row>
        <row r="40">
          <cell r="A40" t="str">
            <v>Simms,Lance</v>
          </cell>
        </row>
        <row r="41">
          <cell r="A41" t="str">
            <v>Singal,Jack</v>
          </cell>
        </row>
        <row r="42">
          <cell r="A42" t="str">
            <v>Stawarz,Lukasz</v>
          </cell>
        </row>
        <row r="43">
          <cell r="A43" t="str">
            <v>Tajima,Hiroyasu</v>
          </cell>
        </row>
        <row r="44">
          <cell r="A44" t="str">
            <v>Turk,Matthew</v>
          </cell>
        </row>
        <row r="45">
          <cell r="A45" t="str">
            <v>Wechsler,Risa H.</v>
          </cell>
        </row>
        <row r="46">
          <cell r="A46" t="str">
            <v>Wu,Hao-Yi</v>
          </cell>
        </row>
        <row r="47">
          <cell r="A47" t="str">
            <v>Zhao,Fen</v>
          </cell>
        </row>
        <row r="48">
          <cell r="A48" t="str">
            <v>Zheng,Chen</v>
          </cell>
        </row>
        <row r="49">
          <cell r="A49" t="str">
            <v>Zheng,Chen</v>
          </cell>
        </row>
      </sheetData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Y10 Plan &amp; Actuals"/>
      <sheetName val="CY10 Shares and Contributions"/>
      <sheetName val="CY10 Invoicing &amp; Payments"/>
      <sheetName val="CY10 Costs by Month"/>
      <sheetName val="Tosti"/>
      <sheetName val="Tbl 2 Out Year Budget"/>
      <sheetName val="Commitments"/>
      <sheetName val="Japan"/>
    </sheetNames>
    <sheetDataSet>
      <sheetData sheetId="0"/>
      <sheetData sheetId="1">
        <row r="3">
          <cell r="G3">
            <v>353264.96179999999</v>
          </cell>
        </row>
        <row r="17">
          <cell r="G17">
            <v>492675.09943780006</v>
          </cell>
        </row>
        <row r="28">
          <cell r="G28">
            <v>6456.82</v>
          </cell>
        </row>
        <row r="34">
          <cell r="G34">
            <v>7412.4609999999993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Y10 Plan &amp; Actuals-present"/>
      <sheetName val="CY12 Shares and Contributions"/>
      <sheetName val="CY11 Shares and Contributions"/>
      <sheetName val="CY11 Plan detail"/>
      <sheetName val="Tosti"/>
      <sheetName val="Sheet1"/>
    </sheetNames>
    <sheetDataSet>
      <sheetData sheetId="0"/>
      <sheetData sheetId="1"/>
      <sheetData sheetId="2"/>
      <sheetData sheetId="3"/>
      <sheetData sheetId="4">
        <row r="10">
          <cell r="D10">
            <v>88658.400000000009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st Summary"/>
      <sheetName val="CY10 Plan"/>
      <sheetName val="CY11 Plan"/>
      <sheetName val="CY11 Plan detail"/>
      <sheetName val="Shares and Contributions CY10"/>
      <sheetName val="Shares and Contributions CY 11"/>
      <sheetName val="Sheet3"/>
    </sheetNames>
    <sheetDataSet>
      <sheetData sheetId="0">
        <row r="5">
          <cell r="C5">
            <v>649750</v>
          </cell>
        </row>
        <row r="10">
          <cell r="F10">
            <v>30547.860287519637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nOCF Title"/>
      <sheetName val="NonOCF DOE Accts"/>
      <sheetName val="NonOCF DOE Cst vs Bgt "/>
      <sheetName val="Costs By Mnth Trend"/>
      <sheetName val="Group Effort Distribut'n Report"/>
      <sheetName val="PCard Report"/>
      <sheetName val="NonOCF Csts &amp; Frcs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W3">
            <v>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ercentage"/>
      <sheetName val="Actual by chnum"/>
      <sheetName val="Actual"/>
      <sheetName val="FY09 Bgt by Chnum"/>
      <sheetName val="FY09 Bgt"/>
      <sheetName val="Actual Dir_Indir"/>
      <sheetName val="Bgt Dir_Indir"/>
      <sheetName val="Data for BaBar Subgrps"/>
      <sheetName val="Data for KIPAC Subgrps"/>
      <sheetName val="Tot-PPA Dir"/>
      <sheetName val="Direct"/>
      <sheetName val="Indirect"/>
      <sheetName val="PPA DO"/>
      <sheetName val="PPA Adm Op"/>
      <sheetName val="PPA Eng EE"/>
      <sheetName val="PPA Eng ME"/>
      <sheetName val="AccTechRes"/>
      <sheetName val="AARD"/>
      <sheetName val="Adv Compute"/>
      <sheetName val="BeamPhys"/>
      <sheetName val="Acc Sys Div"/>
      <sheetName val="EPP Div"/>
      <sheetName val="EPP Adm &amp; Mgmt"/>
      <sheetName val="ATLAS"/>
      <sheetName val="BaBar Coll"/>
      <sheetName val="BaBar Non-OCF"/>
      <sheetName val="BaBar Admin"/>
      <sheetName val="BaBar Computing"/>
      <sheetName val="BaBar Operating"/>
      <sheetName val="BaBar SubSys &amp; Upgrade"/>
      <sheetName val="BaBar OCF"/>
      <sheetName val="SLAC BaBar"/>
      <sheetName val="Group B"/>
      <sheetName val="Group C"/>
      <sheetName val="Group E"/>
      <sheetName val="BaBar Program"/>
      <sheetName val="EXO I"/>
      <sheetName val="LCD"/>
      <sheetName val="Theory"/>
      <sheetName val="KIPAC PAP"/>
      <sheetName val="GLAST ISOC"/>
      <sheetName val="GLAST Phys"/>
      <sheetName val="KIPAC Admin"/>
      <sheetName val="KIPAC Comp"/>
      <sheetName val="KIPAC Phys"/>
      <sheetName val="LSST"/>
      <sheetName val="SNAP"/>
      <sheetName val="ILC Div"/>
      <sheetName val="SCCS"/>
      <sheetName val="FY08 Bgt by Chnum"/>
      <sheetName val="FY08 Bgt"/>
      <sheetName val="FPT"/>
      <sheetName val="23 BaBar Non-OCF"/>
      <sheetName val="23 BaBar Admin"/>
      <sheetName val="23 BaBar Computing"/>
      <sheetName val="23 BaBar Operating"/>
      <sheetName val="23 BaBar SubSys &amp; Upgrade"/>
      <sheetName val="23-BaBar OCF"/>
      <sheetName val="EEP Div"/>
      <sheetName val="Actual (Dir_Ind)"/>
      <sheetName val="FY07 Bgt"/>
    </sheetNames>
    <sheetDataSet>
      <sheetData sheetId="0" refreshError="1">
        <row r="1">
          <cell r="AI1" t="str">
            <v xml:space="preserve"> FY08</v>
          </cell>
          <cell r="AJ1" t="str">
            <v xml:space="preserve"> BA0.5</v>
          </cell>
        </row>
        <row r="68">
          <cell r="C68">
            <v>13</v>
          </cell>
          <cell r="E68">
            <v>1.0833333333333333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rcentage"/>
      <sheetName val="FY05 Bgt"/>
      <sheetName val="Actual"/>
      <sheetName val="Data for BaBar Subgrps"/>
      <sheetName val="Tot-RD"/>
      <sheetName val="22 SLD"/>
      <sheetName val="23 BaBar Admin"/>
      <sheetName val="23 BaBar Computing"/>
      <sheetName val="23 BaBar Operating"/>
      <sheetName val="23-BaBar &amp; FPT"/>
      <sheetName val="23-BaBar OCF"/>
      <sheetName val="23-BaBar NonOCF"/>
      <sheetName val="26-GLAST &amp; FPT"/>
      <sheetName val="26-Glast Facility R&amp;D"/>
      <sheetName val="26-Glast ISOC"/>
      <sheetName val="26-GLAST Science"/>
      <sheetName val="27 Astro Gamma"/>
      <sheetName val="29-GrpA"/>
      <sheetName val="30A-RD Staff"/>
      <sheetName val="30B-RD Misc"/>
      <sheetName val="30-RD Reserve"/>
      <sheetName val="30E-RD Engineers"/>
      <sheetName val="31-GrpK"/>
      <sheetName val="31-K GLAST"/>
      <sheetName val="31-K PAP"/>
      <sheetName val="31-K SVAC"/>
      <sheetName val="32-GrpB"/>
      <sheetName val="33-GrpC"/>
      <sheetName val="35-GrpE"/>
      <sheetName val="41-Theory"/>
      <sheetName val="42-Total"/>
      <sheetName val="42-Admin"/>
      <sheetName val="42-Archive"/>
      <sheetName val="42-Library"/>
      <sheetName val="42-Pubs"/>
      <sheetName val="44-PhyEle"/>
      <sheetName val="49-Ttl EFD"/>
      <sheetName val="49-CRYO"/>
      <sheetName val="49-HEP"/>
      <sheetName val="49-Rigger"/>
      <sheetName val="53-KIPAC"/>
      <sheetName val="57-SCS"/>
      <sheetName val="GroupPlots"/>
    </sheetNames>
    <sheetDataSet>
      <sheetData sheetId="0"/>
      <sheetData sheetId="1"/>
      <sheetData sheetId="2"/>
      <sheetData sheetId="3"/>
      <sheetData sheetId="4" refreshError="1">
        <row r="1">
          <cell r="B1" t="str">
            <v>Total</v>
          </cell>
          <cell r="C1" t="str">
            <v>NonShops</v>
          </cell>
          <cell r="D1" t="str">
            <v>Shop&amp;Con</v>
          </cell>
          <cell r="E1" t="str">
            <v>M&amp;S</v>
          </cell>
          <cell r="F1" t="str">
            <v>Total</v>
          </cell>
          <cell r="G1" t="str">
            <v>NonShops</v>
          </cell>
          <cell r="H1" t="str">
            <v>Shop&amp;contract</v>
          </cell>
          <cell r="I1" t="str">
            <v>M&amp;S</v>
          </cell>
          <cell r="J1" t="str">
            <v>Total</v>
          </cell>
          <cell r="K1" t="str">
            <v>NonShops</v>
          </cell>
          <cell r="L1" t="str">
            <v>Shop&amp;Con</v>
          </cell>
          <cell r="M1" t="str">
            <v>M&amp;S</v>
          </cell>
          <cell r="N1" t="str">
            <v>Adj.</v>
          </cell>
          <cell r="O1" t="str">
            <v>Total</v>
          </cell>
          <cell r="P1" t="str">
            <v>M&amp;S</v>
          </cell>
          <cell r="T1" t="str">
            <v>%Costed</v>
          </cell>
        </row>
        <row r="3">
          <cell r="A3" t="str">
            <v>Month</v>
          </cell>
          <cell r="B3" t="str">
            <v>Budget</v>
          </cell>
          <cell r="C3" t="str">
            <v>Budget</v>
          </cell>
          <cell r="D3" t="str">
            <v>Budget</v>
          </cell>
          <cell r="E3" t="str">
            <v>Budget</v>
          </cell>
          <cell r="F3" t="str">
            <v>Straight Line</v>
          </cell>
          <cell r="G3" t="str">
            <v>Straight Line</v>
          </cell>
          <cell r="H3" t="str">
            <v>Straight Line</v>
          </cell>
          <cell r="I3" t="str">
            <v>Straight Line</v>
          </cell>
          <cell r="J3" t="str">
            <v>With Commits</v>
          </cell>
          <cell r="K3" t="str">
            <v>Costs</v>
          </cell>
          <cell r="L3" t="str">
            <v>Costs</v>
          </cell>
          <cell r="M3" t="str">
            <v>With Commits</v>
          </cell>
          <cell r="N3" t="str">
            <v>Commits</v>
          </cell>
          <cell r="O3" t="str">
            <v>W/O Commits</v>
          </cell>
          <cell r="P3" t="str">
            <v>W/O Commits</v>
          </cell>
          <cell r="R3" t="str">
            <v>% Costed</v>
          </cell>
          <cell r="T3" t="str">
            <v xml:space="preserve"> &amp; Commit</v>
          </cell>
        </row>
        <row r="4">
          <cell r="A4" t="str">
            <v>Oct.</v>
          </cell>
          <cell r="B4">
            <v>49169.2086276396</v>
          </cell>
          <cell r="C4">
            <v>38101.80004166795</v>
          </cell>
          <cell r="D4">
            <v>528.38901113730276</v>
          </cell>
          <cell r="E4">
            <v>10539.01957483435</v>
          </cell>
          <cell r="F4">
            <v>4147.3546744829646</v>
          </cell>
          <cell r="G4">
            <v>3228.5444662986761</v>
          </cell>
          <cell r="H4">
            <v>43.402414773359205</v>
          </cell>
          <cell r="I4">
            <v>875.40779341092912</v>
          </cell>
          <cell r="J4">
            <v>4872.7576799999997</v>
          </cell>
          <cell r="K4">
            <v>3528.6322</v>
          </cell>
          <cell r="L4">
            <v>60.30294</v>
          </cell>
          <cell r="M4">
            <v>1283.8225399999999</v>
          </cell>
          <cell r="N4">
            <v>457.22121000000004</v>
          </cell>
          <cell r="O4">
            <v>4415.53647</v>
          </cell>
          <cell r="P4">
            <v>826.60132999999985</v>
          </cell>
          <cell r="R4">
            <v>8.9802878533983249E-2</v>
          </cell>
          <cell r="T4">
            <v>9.9101812211410401E-2</v>
          </cell>
        </row>
        <row r="5">
          <cell r="A5" t="str">
            <v>Nov</v>
          </cell>
          <cell r="B5">
            <v>49169.2086276396</v>
          </cell>
          <cell r="C5">
            <v>38101.80004166795</v>
          </cell>
          <cell r="D5">
            <v>528.38901113730276</v>
          </cell>
          <cell r="E5">
            <v>10539.01957483435</v>
          </cell>
          <cell r="F5">
            <v>8294.7093489659292</v>
          </cell>
          <cell r="G5">
            <v>6457.0889325973521</v>
          </cell>
          <cell r="H5">
            <v>86.804829546718409</v>
          </cell>
          <cell r="I5">
            <v>1750.8155868218582</v>
          </cell>
          <cell r="J5">
            <v>9085.1743400000014</v>
          </cell>
          <cell r="K5">
            <v>6680.2279400000007</v>
          </cell>
          <cell r="L5">
            <v>95.149270000000016</v>
          </cell>
          <cell r="M5">
            <v>2309.7971299999999</v>
          </cell>
          <cell r="N5">
            <v>839.87176000000011</v>
          </cell>
          <cell r="O5">
            <v>8245.3025800000014</v>
          </cell>
          <cell r="P5">
            <v>1469.9253699999999</v>
          </cell>
          <cell r="R5">
            <v>0.16769239957555571</v>
          </cell>
          <cell r="T5">
            <v>0.18477365395083725</v>
          </cell>
        </row>
        <row r="6">
          <cell r="A6" t="str">
            <v>Dec</v>
          </cell>
          <cell r="B6">
            <v>49169.2086276396</v>
          </cell>
          <cell r="C6">
            <v>38101.80004166795</v>
          </cell>
          <cell r="D6">
            <v>528.38901113730276</v>
          </cell>
          <cell r="E6">
            <v>10539.01957483435</v>
          </cell>
          <cell r="F6">
            <v>12442.064023448893</v>
          </cell>
          <cell r="G6">
            <v>9685.6333988960287</v>
          </cell>
          <cell r="H6">
            <v>130.20724432007762</v>
          </cell>
          <cell r="I6">
            <v>2626.2233802327873</v>
          </cell>
          <cell r="J6">
            <v>12178.016979999999</v>
          </cell>
          <cell r="K6">
            <v>8970.3971000000001</v>
          </cell>
          <cell r="L6">
            <v>136.42046000000002</v>
          </cell>
          <cell r="M6">
            <v>3071.1994199999995</v>
          </cell>
          <cell r="N6">
            <v>827.83025999999984</v>
          </cell>
          <cell r="O6">
            <v>11350.186719999998</v>
          </cell>
          <cell r="P6">
            <v>2243.3691599999997</v>
          </cell>
          <cell r="R6">
            <v>0.230839320721133</v>
          </cell>
          <cell r="T6">
            <v>0.24767567589351727</v>
          </cell>
        </row>
        <row r="7">
          <cell r="A7" t="str">
            <v>Jan</v>
          </cell>
          <cell r="B7">
            <v>49169.2086276396</v>
          </cell>
          <cell r="C7">
            <v>38101.80004166795</v>
          </cell>
          <cell r="D7">
            <v>528.38901113730276</v>
          </cell>
          <cell r="E7">
            <v>10539.01957483435</v>
          </cell>
          <cell r="F7">
            <v>16589.418697931858</v>
          </cell>
          <cell r="G7">
            <v>12914.177865194704</v>
          </cell>
          <cell r="H7">
            <v>173.60965909343682</v>
          </cell>
          <cell r="I7">
            <v>3501.6311736437165</v>
          </cell>
          <cell r="J7">
            <v>17112.878949999998</v>
          </cell>
          <cell r="K7">
            <v>12441.705829999997</v>
          </cell>
          <cell r="L7">
            <v>228.11442000000002</v>
          </cell>
          <cell r="M7">
            <v>4443.0586999999996</v>
          </cell>
          <cell r="N7">
            <v>1432.4565499999999</v>
          </cell>
          <cell r="O7">
            <v>15680.422399999999</v>
          </cell>
          <cell r="P7">
            <v>3010.6021499999997</v>
          </cell>
          <cell r="R7">
            <v>0.31890735762595795</v>
          </cell>
          <cell r="T7">
            <v>0.34804056090462065</v>
          </cell>
        </row>
        <row r="8">
          <cell r="A8" t="str">
            <v>Feb</v>
          </cell>
          <cell r="B8">
            <v>49169.2086276396</v>
          </cell>
          <cell r="C8">
            <v>38101.80004166795</v>
          </cell>
          <cell r="D8">
            <v>528.38901113730276</v>
          </cell>
          <cell r="E8">
            <v>10539.01957483435</v>
          </cell>
          <cell r="F8">
            <v>20736.77337241482</v>
          </cell>
          <cell r="G8">
            <v>16142.72233149338</v>
          </cell>
          <cell r="H8">
            <v>217.01207386679602</v>
          </cell>
          <cell r="I8">
            <v>4377.0389670546456</v>
          </cell>
          <cell r="J8">
            <v>21101.057950000002</v>
          </cell>
          <cell r="K8">
            <v>15840.836750000004</v>
          </cell>
          <cell r="L8">
            <v>281.45132999999998</v>
          </cell>
          <cell r="M8">
            <v>4978.7698700000001</v>
          </cell>
          <cell r="N8">
            <v>1213.3387600000001</v>
          </cell>
          <cell r="O8">
            <v>19887.719190000003</v>
          </cell>
          <cell r="P8">
            <v>3765.43111</v>
          </cell>
          <cell r="R8">
            <v>0.40447507179972131</v>
          </cell>
          <cell r="T8">
            <v>0.42915187246146597</v>
          </cell>
        </row>
        <row r="9">
          <cell r="A9" t="str">
            <v>Mar</v>
          </cell>
          <cell r="B9">
            <v>49169.2086276396</v>
          </cell>
          <cell r="C9">
            <v>38101.80004166795</v>
          </cell>
          <cell r="D9">
            <v>528.38901113730276</v>
          </cell>
          <cell r="E9">
            <v>10539.01957483435</v>
          </cell>
          <cell r="F9">
            <v>24884.128046897786</v>
          </cell>
          <cell r="G9">
            <v>19371.266797792057</v>
          </cell>
          <cell r="H9">
            <v>260.41448864015524</v>
          </cell>
          <cell r="I9">
            <v>5252.4467604655747</v>
          </cell>
          <cell r="J9">
            <v>25141.137140000003</v>
          </cell>
          <cell r="K9">
            <v>19264.659560000004</v>
          </cell>
          <cell r="L9">
            <v>328.35993000000002</v>
          </cell>
          <cell r="M9">
            <v>5548.1176500000001</v>
          </cell>
          <cell r="N9">
            <v>879.43195000000003</v>
          </cell>
          <cell r="O9">
            <v>24261.705190000004</v>
          </cell>
          <cell r="P9">
            <v>4668.6857</v>
          </cell>
          <cell r="R9">
            <v>0.49343289971849813</v>
          </cell>
          <cell r="T9">
            <v>0.51131872653055799</v>
          </cell>
        </row>
        <row r="10">
          <cell r="A10" t="str">
            <v>Apr</v>
          </cell>
          <cell r="B10">
            <v>49768.256093795571</v>
          </cell>
          <cell r="C10">
            <v>38742.533595584115</v>
          </cell>
          <cell r="D10">
            <v>520.82897728031048</v>
          </cell>
          <cell r="E10">
            <v>10504.893520931149</v>
          </cell>
          <cell r="F10">
            <v>29031.482721380748</v>
          </cell>
          <cell r="G10">
            <v>22599.811264090731</v>
          </cell>
          <cell r="H10">
            <v>303.81690341351441</v>
          </cell>
          <cell r="I10">
            <v>6127.8545538765038</v>
          </cell>
          <cell r="J10">
            <v>28874.710299999999</v>
          </cell>
          <cell r="K10">
            <v>22534.43147</v>
          </cell>
          <cell r="L10">
            <v>379.7788700000001</v>
          </cell>
          <cell r="M10">
            <v>5960.4999600000001</v>
          </cell>
          <cell r="N10">
            <v>786.38754000000017</v>
          </cell>
          <cell r="O10">
            <v>28088.322759999999</v>
          </cell>
          <cell r="P10">
            <v>5174.1124199999995</v>
          </cell>
          <cell r="R10">
            <v>0.5643822983683302</v>
          </cell>
          <cell r="T10">
            <v>0.58018328481474968</v>
          </cell>
        </row>
        <row r="11">
          <cell r="A11" t="str">
            <v>May</v>
          </cell>
          <cell r="B11">
            <v>49768.256093795571</v>
          </cell>
          <cell r="C11">
            <v>38742.533595584115</v>
          </cell>
          <cell r="D11">
            <v>520.82897728031048</v>
          </cell>
          <cell r="E11">
            <v>10504.893520931149</v>
          </cell>
          <cell r="F11">
            <v>33178.837395863717</v>
          </cell>
          <cell r="G11">
            <v>25828.355730389409</v>
          </cell>
          <cell r="H11">
            <v>347.21931818687364</v>
          </cell>
          <cell r="I11">
            <v>7003.2623472874329</v>
          </cell>
          <cell r="J11">
            <v>32343.289550000005</v>
          </cell>
          <cell r="K11">
            <v>25403.965330000006</v>
          </cell>
          <cell r="L11">
            <v>417.16767000000004</v>
          </cell>
          <cell r="M11">
            <v>6522.1565499999988</v>
          </cell>
          <cell r="N11">
            <v>658.21276000000012</v>
          </cell>
          <cell r="O11">
            <v>31685.076790000006</v>
          </cell>
          <cell r="P11">
            <v>5863.9437899999984</v>
          </cell>
          <cell r="R11">
            <v>0.63665234181171304</v>
          </cell>
          <cell r="T11">
            <v>0.64987789584277045</v>
          </cell>
        </row>
        <row r="12">
          <cell r="A12" t="str">
            <v>Jun</v>
          </cell>
          <cell r="B12">
            <v>49768.256093795571</v>
          </cell>
          <cell r="C12">
            <v>38742.533595584115</v>
          </cell>
          <cell r="D12">
            <v>520.82897728031048</v>
          </cell>
          <cell r="E12">
            <v>10504.893520931149</v>
          </cell>
          <cell r="F12">
            <v>37326.192070346682</v>
          </cell>
          <cell r="G12">
            <v>29056.900196688086</v>
          </cell>
          <cell r="H12">
            <v>390.62173296023286</v>
          </cell>
          <cell r="I12">
            <v>7878.670140698362</v>
          </cell>
          <cell r="J12">
            <v>37095.613080000003</v>
          </cell>
          <cell r="K12">
            <v>28812.25259</v>
          </cell>
          <cell r="L12">
            <v>454.11350000000004</v>
          </cell>
          <cell r="M12">
            <v>7829.2469900000015</v>
          </cell>
          <cell r="N12">
            <v>1324.5947099999998</v>
          </cell>
          <cell r="O12">
            <v>35771.018370000005</v>
          </cell>
          <cell r="P12">
            <v>6504.6522800000021</v>
          </cell>
          <cell r="R12">
            <v>0.71875169390272142</v>
          </cell>
          <cell r="T12">
            <v>0.74536694655500657</v>
          </cell>
        </row>
        <row r="13">
          <cell r="A13" t="str">
            <v>Jul</v>
          </cell>
          <cell r="B13">
            <v>49768.256093795571</v>
          </cell>
          <cell r="C13">
            <v>38742.533595584115</v>
          </cell>
          <cell r="D13">
            <v>520.82897728031048</v>
          </cell>
          <cell r="E13">
            <v>10504.893520931149</v>
          </cell>
          <cell r="F13">
            <v>41473.54674482964</v>
          </cell>
          <cell r="G13">
            <v>32285.44466298676</v>
          </cell>
          <cell r="H13">
            <v>434.02414773359203</v>
          </cell>
          <cell r="I13">
            <v>8754.0779341092912</v>
          </cell>
          <cell r="J13">
            <v>40516.331890000001</v>
          </cell>
          <cell r="K13">
            <v>32058.621270000003</v>
          </cell>
          <cell r="L13">
            <v>501.62885999999992</v>
          </cell>
          <cell r="M13">
            <v>7956.0817599999973</v>
          </cell>
          <cell r="N13">
            <v>497.33212000000009</v>
          </cell>
          <cell r="O13">
            <v>40018.999770000002</v>
          </cell>
          <cell r="P13">
            <v>7458.7496399999973</v>
          </cell>
          <cell r="R13">
            <v>0.80410693303334424</v>
          </cell>
          <cell r="T13">
            <v>0.81409989157829921</v>
          </cell>
        </row>
        <row r="14">
          <cell r="A14" t="str">
            <v>Aug</v>
          </cell>
          <cell r="B14">
            <v>49768.256093795571</v>
          </cell>
          <cell r="C14">
            <v>38742.533595584115</v>
          </cell>
          <cell r="D14">
            <v>520.82897728031048</v>
          </cell>
          <cell r="E14">
            <v>10504.893520931149</v>
          </cell>
          <cell r="F14">
            <v>45620.901419312606</v>
          </cell>
          <cell r="G14">
            <v>35513.989129285437</v>
          </cell>
          <cell r="H14">
            <v>477.42656250695126</v>
          </cell>
          <cell r="I14">
            <v>9629.4857275202194</v>
          </cell>
          <cell r="J14">
            <v>44995.844470000004</v>
          </cell>
          <cell r="K14">
            <v>35319.095150000001</v>
          </cell>
          <cell r="L14">
            <v>542.6787599999999</v>
          </cell>
          <cell r="M14">
            <v>9134.0705600000001</v>
          </cell>
          <cell r="N14">
            <v>726.66695000000004</v>
          </cell>
          <cell r="O14">
            <v>44269.177520000005</v>
          </cell>
          <cell r="P14">
            <v>8407.4036099999994</v>
          </cell>
          <cell r="R14">
            <v>0.88950630370829653</v>
          </cell>
          <cell r="T14">
            <v>0.90410731662364741</v>
          </cell>
        </row>
        <row r="15">
          <cell r="A15" t="str">
            <v>Sep</v>
          </cell>
          <cell r="B15">
            <v>49768.256093795571</v>
          </cell>
          <cell r="C15">
            <v>38742.533595584115</v>
          </cell>
          <cell r="D15">
            <v>520.82897728031048</v>
          </cell>
          <cell r="E15">
            <v>10504.893520931149</v>
          </cell>
          <cell r="F15">
            <v>49768.256093795571</v>
          </cell>
          <cell r="G15">
            <v>38742.533595584115</v>
          </cell>
          <cell r="H15">
            <v>520.82897728031048</v>
          </cell>
          <cell r="I15">
            <v>10504.893520931149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LAST (ISOC) Input"/>
      <sheetName val="GLAST (Beam Test) Input"/>
      <sheetName val="GLAST (Low Priority-Opr) Input"/>
      <sheetName val="GLAST (ISOC) Report"/>
      <sheetName val="GLAST (Beam Test) Report"/>
      <sheetName val="GLAST (Low Priority-Opr) Report"/>
      <sheetName val="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_Petty Cash</v>
          </cell>
          <cell r="E2" t="str">
            <v>Travel - Domestic-Employees</v>
          </cell>
          <cell r="G2" t="str">
            <v>Asia</v>
          </cell>
        </row>
        <row r="3">
          <cell r="A3" t="str">
            <v>_Support Engineer</v>
          </cell>
          <cell r="E3" t="str">
            <v>Travel --  Foreign-Employees</v>
          </cell>
          <cell r="G3" t="str">
            <v>Europe</v>
          </cell>
        </row>
        <row r="4">
          <cell r="A4" t="str">
            <v>_TBH</v>
          </cell>
          <cell r="E4" t="str">
            <v>Travel-DOE Cont Empl-Domestic</v>
          </cell>
          <cell r="G4" t="str">
            <v>US Pacific</v>
          </cell>
        </row>
        <row r="5">
          <cell r="A5" t="str">
            <v>Bogart,Joanne R.</v>
          </cell>
          <cell r="E5" t="str">
            <v>Travel-DOE Cont Empl-Foreign</v>
          </cell>
          <cell r="G5" t="str">
            <v>US Other</v>
          </cell>
        </row>
        <row r="6">
          <cell r="A6" t="str">
            <v>Borgland,Anders W.</v>
          </cell>
          <cell r="G6" t="str">
            <v>Local</v>
          </cell>
        </row>
        <row r="7">
          <cell r="A7" t="str">
            <v>Cameron,Robert Andrew</v>
          </cell>
        </row>
        <row r="8">
          <cell r="A8" t="str">
            <v>Charles,Eric</v>
          </cell>
        </row>
        <row r="9">
          <cell r="A9" t="str">
            <v>Chiang,James</v>
          </cell>
        </row>
        <row r="10">
          <cell r="A10" t="str">
            <v>Claus,Richard</v>
          </cell>
        </row>
        <row r="11">
          <cell r="A11" t="str">
            <v>Culp,Steven D</v>
          </cell>
        </row>
        <row r="12">
          <cell r="A12" t="str">
            <v>Digel,Seth</v>
          </cell>
        </row>
        <row r="13">
          <cell r="A13" t="str">
            <v>Do Couto E Silva,Eduardo</v>
          </cell>
        </row>
        <row r="14">
          <cell r="A14" t="str">
            <v>Dubois,Richard</v>
          </cell>
        </row>
        <row r="15">
          <cell r="A15" t="str">
            <v>Edmonds,Yvonne Vasetta</v>
          </cell>
        </row>
        <row r="16">
          <cell r="A16" t="str">
            <v>Flath,Daniel L.</v>
          </cell>
        </row>
        <row r="17">
          <cell r="A17" t="str">
            <v>Focke,Warren B.</v>
          </cell>
        </row>
        <row r="18">
          <cell r="A18" t="str">
            <v>Fouts III,Kenneth A.</v>
          </cell>
        </row>
        <row r="19">
          <cell r="A19" t="str">
            <v>Glanzman,Thomas L.</v>
          </cell>
        </row>
        <row r="20">
          <cell r="A20" t="str">
            <v>Hakimi,Maliheh</v>
          </cell>
        </row>
        <row r="21">
          <cell r="A21" t="str">
            <v>Johnson,Anthony S.</v>
          </cell>
        </row>
        <row r="22">
          <cell r="A22" t="str">
            <v>Kelly,Heather Maria</v>
          </cell>
        </row>
        <row r="23">
          <cell r="A23" t="str">
            <v>Kocian,Martin L.</v>
          </cell>
        </row>
        <row r="24">
          <cell r="A24" t="str">
            <v>Kunz,Paul F.</v>
          </cell>
        </row>
        <row r="25">
          <cell r="A25" t="str">
            <v>Mitra,Patralekha</v>
          </cell>
        </row>
        <row r="26">
          <cell r="A26" t="str">
            <v>Panetta,James H.</v>
          </cell>
        </row>
        <row r="27">
          <cell r="A27" t="str">
            <v>Paneque,David Camarero</v>
          </cell>
        </row>
        <row r="28">
          <cell r="A28" t="str">
            <v>Patterson,John C.</v>
          </cell>
        </row>
        <row r="29">
          <cell r="A29" t="str">
            <v>Pavlin,Igor</v>
          </cell>
        </row>
        <row r="30">
          <cell r="A30" t="str">
            <v>Rochester,Leon S.</v>
          </cell>
        </row>
        <row r="31">
          <cell r="A31" t="str">
            <v>Russell,James J.</v>
          </cell>
        </row>
        <row r="32">
          <cell r="A32" t="str">
            <v>Salgado,Guadalupe</v>
          </cell>
        </row>
        <row r="33">
          <cell r="A33" t="str">
            <v>Sugizaki,Mutsumi</v>
          </cell>
        </row>
        <row r="34">
          <cell r="A34" t="str">
            <v>Tajima,Hiroyasu</v>
          </cell>
        </row>
        <row r="35">
          <cell r="A35" t="str">
            <v>Tether,Stephen A</v>
          </cell>
        </row>
        <row r="36">
          <cell r="A36" t="str">
            <v>Thayer,Jana B.</v>
          </cell>
        </row>
        <row r="37">
          <cell r="A37" t="str">
            <v>Thayer,John Gregg</v>
          </cell>
        </row>
        <row r="38">
          <cell r="A38" t="str">
            <v>Turri,Massimiliano</v>
          </cell>
        </row>
        <row r="39">
          <cell r="A39" t="str">
            <v>Usher,Tracy L.</v>
          </cell>
        </row>
        <row r="40">
          <cell r="A40" t="str">
            <v>Wai,Lawrence L.</v>
          </cell>
        </row>
        <row r="41">
          <cell r="A41" t="str">
            <v>Waite,Anthony P.</v>
          </cell>
        </row>
        <row r="42">
          <cell r="A42" t="str">
            <v>Wang,Ping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put"/>
      <sheetName val="Travel Input"/>
      <sheetName val="Lists"/>
    </sheetNames>
    <sheetDataSet>
      <sheetData sheetId="0"/>
      <sheetData sheetId="1"/>
      <sheetData sheetId="2">
        <row r="3">
          <cell r="H3" t="str">
            <v>Berry,Melissa</v>
          </cell>
        </row>
        <row r="4">
          <cell r="H4" t="str">
            <v>Blumenfeld,Ian</v>
          </cell>
        </row>
        <row r="5">
          <cell r="H5" t="str">
            <v>Colby,Eric R.</v>
          </cell>
        </row>
        <row r="6">
          <cell r="H6" t="str">
            <v>Cowan,Benjamin</v>
          </cell>
        </row>
        <row r="7">
          <cell r="H7" t="str">
            <v>Fryberger,David</v>
          </cell>
        </row>
        <row r="8">
          <cell r="H8" t="str">
            <v>Hogan,Mark J.</v>
          </cell>
        </row>
        <row r="9">
          <cell r="H9" t="str">
            <v>Ischebeck,Rasmus</v>
          </cell>
        </row>
        <row r="10">
          <cell r="H10" t="str">
            <v>Kirby,Neil A.</v>
          </cell>
        </row>
        <row r="11">
          <cell r="H11" t="str">
            <v>Lincoln,Melissa R.</v>
          </cell>
        </row>
        <row r="12">
          <cell r="H12" t="str">
            <v>McGuinness,Christopher Michael</v>
          </cell>
        </row>
        <row r="13">
          <cell r="H13" t="str">
            <v>Noble,Robert</v>
          </cell>
        </row>
        <row r="14">
          <cell r="H14" t="str">
            <v>Santo,Stephanie A.</v>
          </cell>
        </row>
        <row r="15">
          <cell r="H15" t="str">
            <v>Sears,Christopher M.</v>
          </cell>
        </row>
        <row r="16">
          <cell r="H16" t="str">
            <v>Siemann,Robert H.</v>
          </cell>
        </row>
        <row r="17">
          <cell r="H17" t="str">
            <v>Spencer,James E.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J52"/>
  <sheetViews>
    <sheetView topLeftCell="A3" workbookViewId="0">
      <selection activeCell="B50" sqref="B50"/>
    </sheetView>
  </sheetViews>
  <sheetFormatPr defaultColWidth="8" defaultRowHeight="12.75" outlineLevelCol="1"/>
  <cols>
    <col min="1" max="1" width="9.140625" style="1" customWidth="1"/>
    <col min="2" max="2" width="18.140625" style="3" customWidth="1"/>
    <col min="3" max="3" width="16.28515625" style="3" customWidth="1"/>
    <col min="4" max="4" width="11.42578125" style="4" customWidth="1"/>
    <col min="5" max="5" width="13" style="4" hidden="1" customWidth="1" outlineLevel="1"/>
    <col min="6" max="6" width="12" style="4" customWidth="1" collapsed="1"/>
    <col min="7" max="7" width="13" style="4" hidden="1" customWidth="1"/>
    <col min="8" max="8" width="11.140625" style="4" customWidth="1"/>
    <col min="9" max="9" width="9.42578125" style="4" customWidth="1"/>
    <col min="10" max="10" width="6" style="5" customWidth="1"/>
    <col min="11" max="11" width="12.42578125" style="4" hidden="1" customWidth="1"/>
    <col min="12" max="13" width="11.42578125" style="4" customWidth="1"/>
    <col min="14" max="15" width="14.140625" style="1" hidden="1" customWidth="1" outlineLevel="1"/>
    <col min="16" max="16" width="8.140625" style="1" hidden="1" customWidth="1" outlineLevel="1"/>
    <col min="17" max="17" width="10.42578125" style="1" hidden="1" customWidth="1" outlineLevel="1"/>
    <col min="18" max="18" width="8.140625" style="1" hidden="1" customWidth="1" outlineLevel="1"/>
    <col min="19" max="19" width="8.140625" style="6" hidden="1" customWidth="1" outlineLevel="1"/>
    <col min="20" max="21" width="10.7109375" style="6" hidden="1" customWidth="1" outlineLevel="1"/>
    <col min="22" max="22" width="12.140625" style="1" hidden="1" customWidth="1" outlineLevel="1"/>
    <col min="23" max="23" width="12" style="1" hidden="1" customWidth="1" outlineLevel="1"/>
    <col min="24" max="24" width="12.42578125" style="1" hidden="1" customWidth="1" outlineLevel="1"/>
    <col min="25" max="25" width="10.7109375" style="1" hidden="1" customWidth="1" outlineLevel="1"/>
    <col min="26" max="26" width="11.140625" style="1" hidden="1" customWidth="1" outlineLevel="1"/>
    <col min="27" max="27" width="19" style="1" hidden="1" customWidth="1" outlineLevel="1"/>
    <col min="28" max="28" width="8" style="1" customWidth="1" collapsed="1"/>
    <col min="29" max="29" width="12.140625" style="1" customWidth="1"/>
    <col min="30" max="30" width="8" style="1" customWidth="1"/>
    <col min="31" max="35" width="8" style="1"/>
    <col min="36" max="36" width="9.7109375" style="1" bestFit="1" customWidth="1"/>
    <col min="37" max="16384" width="8" style="1"/>
  </cols>
  <sheetData>
    <row r="1" spans="1:36" ht="5.25" customHeight="1">
      <c r="B1" s="2"/>
    </row>
    <row r="2" spans="1:36" s="13" customFormat="1" ht="66.75" customHeight="1">
      <c r="A2" s="7"/>
      <c r="B2" s="8" t="s">
        <v>0</v>
      </c>
      <c r="C2" s="9"/>
      <c r="D2" s="10" t="s">
        <v>1</v>
      </c>
      <c r="E2" s="11" t="s">
        <v>2</v>
      </c>
      <c r="F2" s="11" t="s">
        <v>3</v>
      </c>
      <c r="G2" s="11" t="s">
        <v>4</v>
      </c>
      <c r="H2" s="12" t="s">
        <v>5</v>
      </c>
      <c r="I2" s="12" t="s">
        <v>6</v>
      </c>
      <c r="J2" s="12" t="s">
        <v>7</v>
      </c>
      <c r="K2" s="11" t="s">
        <v>8</v>
      </c>
      <c r="L2" s="11" t="s">
        <v>9</v>
      </c>
      <c r="M2" s="11" t="s">
        <v>10</v>
      </c>
      <c r="S2" s="14"/>
      <c r="T2" s="14"/>
      <c r="U2" s="14"/>
    </row>
    <row r="3" spans="1:36" s="13" customFormat="1" ht="16.5" customHeight="1">
      <c r="A3" s="7"/>
      <c r="B3" s="15" t="s">
        <v>11</v>
      </c>
      <c r="C3" s="16"/>
      <c r="D3" s="17"/>
      <c r="E3" s="18">
        <v>324758.54344752</v>
      </c>
      <c r="F3" s="19">
        <v>337637.80307999998</v>
      </c>
      <c r="G3" s="18">
        <f>'[1]CY10 Costs by Month'!N10*1.13*1000</f>
        <v>215301.64589999994</v>
      </c>
      <c r="H3" s="19">
        <f>'[2]CY10 Plan &amp; Actuals'!$G$3</f>
        <v>353264.96179999999</v>
      </c>
      <c r="I3" s="19">
        <f>F3-H3</f>
        <v>-15627.158720000007</v>
      </c>
      <c r="J3" s="20"/>
      <c r="K3" s="19">
        <v>354519.69323400001</v>
      </c>
      <c r="L3" s="19">
        <f>'[1]CY11 Plan detail'!E3</f>
        <v>328931.77544784005</v>
      </c>
      <c r="M3" s="19">
        <f>M9+M15</f>
        <v>379438.63199999998</v>
      </c>
      <c r="N3" s="1"/>
      <c r="O3" s="1"/>
      <c r="P3" s="1"/>
      <c r="Q3" s="1"/>
      <c r="R3" s="1"/>
      <c r="S3" s="6"/>
      <c r="T3" s="6"/>
      <c r="U3" s="21"/>
      <c r="V3" s="22"/>
      <c r="W3" s="22"/>
      <c r="X3" s="23"/>
      <c r="Y3" s="23"/>
      <c r="Z3" s="23"/>
      <c r="AA3" s="23"/>
      <c r="AB3" s="24"/>
    </row>
    <row r="4" spans="1:36">
      <c r="A4" s="25"/>
      <c r="B4" s="26"/>
      <c r="C4" s="27" t="s">
        <v>12</v>
      </c>
      <c r="D4" s="28"/>
      <c r="E4" s="29"/>
      <c r="F4" s="30"/>
      <c r="G4" s="31"/>
      <c r="H4" s="30"/>
      <c r="I4" s="30"/>
      <c r="J4" s="32"/>
      <c r="K4" s="33"/>
      <c r="L4" s="33"/>
      <c r="M4" s="33"/>
      <c r="O4" s="1" t="s">
        <v>13</v>
      </c>
      <c r="P4" s="1" t="s">
        <v>14</v>
      </c>
      <c r="Q4" s="1" t="s">
        <v>15</v>
      </c>
      <c r="R4" s="1" t="s">
        <v>16</v>
      </c>
      <c r="T4" s="34"/>
      <c r="U4" s="35"/>
      <c r="V4" s="36"/>
      <c r="W4" s="37"/>
      <c r="X4" s="24"/>
      <c r="Y4" s="24"/>
      <c r="Z4" s="24"/>
      <c r="AA4" s="24"/>
    </row>
    <row r="5" spans="1:36">
      <c r="A5" s="25"/>
      <c r="B5" s="26"/>
      <c r="C5" s="27" t="s">
        <v>17</v>
      </c>
      <c r="D5" s="28">
        <v>107493</v>
      </c>
      <c r="E5" s="33"/>
      <c r="F5" s="30"/>
      <c r="G5" s="30"/>
      <c r="H5" s="30"/>
      <c r="I5" s="30"/>
      <c r="J5" s="32"/>
      <c r="K5" s="38">
        <v>112867.65000000001</v>
      </c>
      <c r="L5" s="38">
        <f>'[1]CY11 Plan detail'!D6</f>
        <v>116955.648</v>
      </c>
      <c r="M5" s="38">
        <f>S10</f>
        <v>150386.4</v>
      </c>
      <c r="O5" s="1" t="s">
        <v>18</v>
      </c>
      <c r="P5" s="1">
        <v>103</v>
      </c>
      <c r="Q5" s="1">
        <v>0.4</v>
      </c>
      <c r="R5" s="1">
        <v>1800</v>
      </c>
      <c r="S5" s="6">
        <f>R5*Q5*P5</f>
        <v>74160</v>
      </c>
      <c r="T5" s="34"/>
      <c r="U5" s="35"/>
      <c r="V5" s="36"/>
      <c r="W5" s="37"/>
      <c r="AA5" s="39"/>
      <c r="AC5" s="40"/>
    </row>
    <row r="6" spans="1:36" hidden="1">
      <c r="A6" s="25"/>
      <c r="B6" s="26"/>
      <c r="C6" s="41" t="s">
        <v>19</v>
      </c>
      <c r="D6" s="28">
        <v>32892.858</v>
      </c>
      <c r="E6" s="33"/>
      <c r="F6" s="30"/>
      <c r="G6" s="30"/>
      <c r="H6" s="30"/>
      <c r="I6" s="30"/>
      <c r="J6" s="32"/>
      <c r="K6" s="38">
        <v>34537.500899999999</v>
      </c>
      <c r="L6" s="38">
        <f>'[1]CY11 Plan detail'!D9</f>
        <v>19856.729917440003</v>
      </c>
      <c r="M6" s="38">
        <f>'[1]CY11 Plan detail'!D9</f>
        <v>19856.729917440003</v>
      </c>
      <c r="S6" s="6">
        <f t="shared" ref="S6:S8" si="0">R6*Q6*P6</f>
        <v>0</v>
      </c>
      <c r="T6" s="34"/>
      <c r="U6" s="34"/>
      <c r="X6" s="42"/>
      <c r="Y6" s="42"/>
      <c r="Z6" s="24"/>
      <c r="AA6" s="24"/>
    </row>
    <row r="7" spans="1:36" hidden="1">
      <c r="A7" s="25"/>
      <c r="B7" s="26"/>
      <c r="C7" s="27" t="s">
        <v>20</v>
      </c>
      <c r="D7" s="28">
        <v>140385.85800000001</v>
      </c>
      <c r="E7" s="33"/>
      <c r="F7" s="30"/>
      <c r="G7" s="30"/>
      <c r="H7" s="30"/>
      <c r="I7" s="30"/>
      <c r="J7" s="32"/>
      <c r="K7" s="38">
        <v>147405.15090000001</v>
      </c>
      <c r="L7" s="38">
        <f>'[1]CY11 Plan detail'!D10</f>
        <v>172600.80620544002</v>
      </c>
      <c r="M7" s="38">
        <f>'[1]CY11 Plan detail'!D10</f>
        <v>172600.80620544002</v>
      </c>
      <c r="S7" s="6">
        <f t="shared" si="0"/>
        <v>0</v>
      </c>
      <c r="T7" s="34"/>
      <c r="U7" s="43"/>
      <c r="V7" s="43"/>
      <c r="W7" s="39"/>
      <c r="X7" s="42"/>
      <c r="Y7" s="42"/>
      <c r="Z7" s="24"/>
      <c r="AA7" s="24"/>
    </row>
    <row r="8" spans="1:36" hidden="1">
      <c r="A8" s="25"/>
      <c r="B8" s="26"/>
      <c r="C8" s="27" t="s">
        <v>21</v>
      </c>
      <c r="D8" s="28">
        <v>18250.161540000001</v>
      </c>
      <c r="E8" s="33"/>
      <c r="F8" s="30"/>
      <c r="G8" s="30"/>
      <c r="H8" s="30"/>
      <c r="I8" s="30"/>
      <c r="J8" s="32"/>
      <c r="K8" s="38">
        <v>19162.669617000003</v>
      </c>
      <c r="L8" s="38" t="e">
        <f>'[1]CY11 Plan detail'!D11</f>
        <v>#REF!</v>
      </c>
      <c r="M8" s="38" t="e">
        <f>'[1]CY11 Plan detail'!D11</f>
        <v>#REF!</v>
      </c>
      <c r="S8" s="6">
        <f t="shared" si="0"/>
        <v>0</v>
      </c>
      <c r="T8" s="34"/>
      <c r="U8" s="43"/>
      <c r="V8" s="43"/>
      <c r="W8" s="39"/>
      <c r="X8" s="22"/>
      <c r="Y8" s="22"/>
      <c r="Z8" s="44"/>
    </row>
    <row r="9" spans="1:36" ht="15.75" customHeight="1">
      <c r="A9" s="25"/>
      <c r="B9" s="26"/>
      <c r="C9" s="27" t="s">
        <v>22</v>
      </c>
      <c r="D9" s="28">
        <v>158636.01954000001</v>
      </c>
      <c r="E9" s="33"/>
      <c r="F9" s="30"/>
      <c r="G9" s="30"/>
      <c r="H9" s="30"/>
      <c r="I9" s="30"/>
      <c r="J9" s="32"/>
      <c r="K9" s="38">
        <v>166567.82051700001</v>
      </c>
      <c r="L9" s="38">
        <f>'[1]CY11 Plan detail'!D10</f>
        <v>172600.80620544002</v>
      </c>
      <c r="M9" s="38">
        <f>M5*1.13</f>
        <v>169936.63199999998</v>
      </c>
      <c r="O9" s="1" t="s">
        <v>23</v>
      </c>
      <c r="Q9" s="1">
        <v>0.6</v>
      </c>
      <c r="S9" s="6">
        <f>10587*12*Q9</f>
        <v>76226.399999999994</v>
      </c>
      <c r="T9" s="34"/>
      <c r="U9" s="35"/>
      <c r="V9" s="36"/>
      <c r="W9" s="36"/>
      <c r="X9" s="36"/>
      <c r="Y9" s="36"/>
    </row>
    <row r="10" spans="1:36">
      <c r="A10" s="25"/>
      <c r="B10" s="26"/>
      <c r="C10" s="27"/>
      <c r="D10" s="28"/>
      <c r="E10" s="33"/>
      <c r="F10" s="30"/>
      <c r="G10" s="30"/>
      <c r="H10" s="30"/>
      <c r="I10" s="30"/>
      <c r="J10" s="32"/>
      <c r="K10" s="38"/>
      <c r="L10" s="38"/>
      <c r="M10" s="38"/>
      <c r="S10" s="6">
        <f>SUM(S5:S9)</f>
        <v>150386.4</v>
      </c>
      <c r="T10" s="34"/>
      <c r="U10" s="35"/>
      <c r="V10" s="36"/>
      <c r="W10" s="36"/>
      <c r="X10" s="36"/>
      <c r="Y10" s="36"/>
    </row>
    <row r="11" spans="1:36">
      <c r="A11" s="25"/>
      <c r="B11" s="26"/>
      <c r="C11" s="27" t="s">
        <v>24</v>
      </c>
      <c r="D11" s="28">
        <v>121293</v>
      </c>
      <c r="E11" s="33"/>
      <c r="F11" s="30"/>
      <c r="G11" s="30"/>
      <c r="H11" s="30"/>
      <c r="I11" s="30"/>
      <c r="J11" s="32"/>
      <c r="K11" s="38">
        <v>127357.65</v>
      </c>
      <c r="L11" s="38">
        <f>'[1]CY11 Plan detail'!D12</f>
        <v>105931.08</v>
      </c>
      <c r="M11" s="38">
        <f>S15</f>
        <v>185400</v>
      </c>
      <c r="T11" s="34"/>
      <c r="U11" s="35"/>
      <c r="V11" s="36"/>
      <c r="W11" s="37"/>
      <c r="X11" s="36"/>
      <c r="Y11" s="36"/>
    </row>
    <row r="12" spans="1:36" hidden="1">
      <c r="A12" s="25"/>
      <c r="B12" s="26"/>
      <c r="C12" s="41" t="s">
        <v>19</v>
      </c>
      <c r="D12" s="28">
        <v>37115.657999999996</v>
      </c>
      <c r="E12" s="33"/>
      <c r="F12" s="30"/>
      <c r="G12" s="30"/>
      <c r="H12" s="30"/>
      <c r="I12" s="30"/>
      <c r="J12" s="32"/>
      <c r="K12" s="38">
        <v>38971.440899999994</v>
      </c>
      <c r="L12" s="38"/>
      <c r="M12" s="38"/>
      <c r="U12" s="35"/>
      <c r="V12" s="36"/>
      <c r="W12" s="37"/>
      <c r="X12" s="42"/>
      <c r="Y12" s="36"/>
    </row>
    <row r="13" spans="1:36" hidden="1">
      <c r="A13" s="25"/>
      <c r="B13" s="26"/>
      <c r="C13" s="27" t="s">
        <v>20</v>
      </c>
      <c r="D13" s="28">
        <v>158408.658</v>
      </c>
      <c r="E13" s="33"/>
      <c r="F13" s="30"/>
      <c r="G13" s="30"/>
      <c r="H13" s="30"/>
      <c r="I13" s="30"/>
      <c r="J13" s="32"/>
      <c r="K13" s="38">
        <v>166329.09089999998</v>
      </c>
      <c r="L13" s="38"/>
      <c r="M13" s="38"/>
      <c r="U13" s="35"/>
      <c r="V13" s="36"/>
      <c r="W13" s="37"/>
      <c r="X13" s="36"/>
      <c r="Y13" s="36"/>
    </row>
    <row r="14" spans="1:36" hidden="1">
      <c r="A14" s="25"/>
      <c r="B14" s="26"/>
      <c r="C14" s="27" t="s">
        <v>21</v>
      </c>
      <c r="D14" s="28">
        <v>20593.125540000001</v>
      </c>
      <c r="E14" s="33"/>
      <c r="F14" s="30"/>
      <c r="G14" s="30"/>
      <c r="H14" s="30"/>
      <c r="I14" s="30"/>
      <c r="J14" s="32"/>
      <c r="K14" s="38">
        <v>21622.781816999999</v>
      </c>
      <c r="L14" s="38"/>
      <c r="M14" s="38"/>
      <c r="U14" s="35"/>
      <c r="V14" s="36"/>
      <c r="W14" s="36"/>
      <c r="X14" s="36"/>
      <c r="Y14" s="36"/>
    </row>
    <row r="15" spans="1:36">
      <c r="A15" s="25"/>
      <c r="B15" s="26"/>
      <c r="C15" s="27" t="s">
        <v>22</v>
      </c>
      <c r="D15" s="28">
        <v>179001.78354</v>
      </c>
      <c r="E15" s="33"/>
      <c r="F15" s="30"/>
      <c r="G15" s="30"/>
      <c r="H15" s="30"/>
      <c r="I15" s="30"/>
      <c r="J15" s="32"/>
      <c r="K15" s="38">
        <v>187951.87271699999</v>
      </c>
      <c r="L15" s="38">
        <f>'[1]CY11 Plan detail'!D16</f>
        <v>156330.96924240002</v>
      </c>
      <c r="M15" s="38">
        <f>M11*1.13</f>
        <v>209501.99999999997</v>
      </c>
      <c r="O15" s="1" t="s">
        <v>25</v>
      </c>
      <c r="P15" s="1">
        <v>103</v>
      </c>
      <c r="Q15" s="1">
        <v>1</v>
      </c>
      <c r="R15" s="1">
        <f>R5</f>
        <v>1800</v>
      </c>
      <c r="S15" s="6">
        <f>R15*Q15*P15</f>
        <v>185400</v>
      </c>
    </row>
    <row r="16" spans="1:36">
      <c r="A16" s="25"/>
      <c r="B16" s="26"/>
      <c r="C16" s="27"/>
      <c r="D16" s="45"/>
      <c r="E16" s="33"/>
      <c r="F16" s="30"/>
      <c r="G16" s="30"/>
      <c r="H16" s="30"/>
      <c r="I16" s="30"/>
      <c r="J16" s="32"/>
      <c r="K16" s="33"/>
      <c r="L16" s="33"/>
      <c r="M16" s="33"/>
      <c r="AJ16" s="24"/>
    </row>
    <row r="17" spans="1:30" s="13" customFormat="1" ht="16.5" customHeight="1">
      <c r="A17" s="7"/>
      <c r="B17" s="15" t="s">
        <v>26</v>
      </c>
      <c r="C17" s="16"/>
      <c r="D17" s="46"/>
      <c r="E17" s="18">
        <v>649750</v>
      </c>
      <c r="F17" s="19">
        <v>560000</v>
      </c>
      <c r="G17" s="19">
        <f>('[1]CY10 Costs by Month'!N9+'[1]CY10 Costs by Month'!N7)*1000*1.13</f>
        <v>246615.7426</v>
      </c>
      <c r="H17" s="19">
        <f>'[2]CY10 Plan &amp; Actuals'!$G$17</f>
        <v>492675.09943780006</v>
      </c>
      <c r="I17" s="19">
        <f>F17-H17</f>
        <v>67324.900562199939</v>
      </c>
      <c r="J17" s="47"/>
      <c r="K17" s="19">
        <v>678000</v>
      </c>
      <c r="L17" s="19">
        <f>'[1]CY11 Plan detail'!E18</f>
        <v>678000</v>
      </c>
      <c r="M17" s="19">
        <f>M21</f>
        <v>678000</v>
      </c>
      <c r="N17" s="1"/>
      <c r="O17" s="1"/>
      <c r="P17" s="1"/>
      <c r="Q17" s="1"/>
      <c r="R17" s="1"/>
      <c r="S17" s="6"/>
      <c r="T17" s="6"/>
      <c r="U17" s="6"/>
      <c r="AC17" s="48"/>
    </row>
    <row r="18" spans="1:30">
      <c r="A18" s="25"/>
      <c r="B18" s="26"/>
      <c r="C18" s="49" t="s">
        <v>27</v>
      </c>
      <c r="D18" s="50">
        <f>560000/1.13</f>
        <v>495575.2212389381</v>
      </c>
      <c r="E18" s="51"/>
      <c r="F18" s="52"/>
      <c r="G18" s="52"/>
      <c r="H18" s="52"/>
      <c r="I18" s="52"/>
      <c r="J18" s="53"/>
      <c r="K18" s="54">
        <v>600000</v>
      </c>
      <c r="L18" s="54">
        <f>'[1]CY11 Plan detail'!D19</f>
        <v>600000</v>
      </c>
      <c r="M18" s="54">
        <f>L18</f>
        <v>600000</v>
      </c>
    </row>
    <row r="19" spans="1:30" hidden="1">
      <c r="A19" s="25"/>
      <c r="B19" s="26"/>
      <c r="C19" s="49" t="s">
        <v>20</v>
      </c>
      <c r="D19" s="50">
        <f>(U22/1.13)+25000</f>
        <v>25000</v>
      </c>
      <c r="E19" s="51"/>
      <c r="F19" s="52"/>
      <c r="G19" s="52"/>
      <c r="H19" s="52"/>
      <c r="I19" s="52"/>
      <c r="J19" s="53"/>
      <c r="K19" s="54"/>
      <c r="L19" s="54"/>
      <c r="M19" s="54"/>
    </row>
    <row r="20" spans="1:30" hidden="1">
      <c r="A20" s="25"/>
      <c r="B20" s="26"/>
      <c r="C20" s="49" t="s">
        <v>21</v>
      </c>
      <c r="D20" s="50">
        <v>64424.778761061956</v>
      </c>
      <c r="E20" s="51"/>
      <c r="F20" s="52"/>
      <c r="G20" s="52"/>
      <c r="H20" s="52"/>
      <c r="I20" s="52"/>
      <c r="J20" s="53"/>
      <c r="K20" s="54"/>
      <c r="L20" s="54"/>
      <c r="M20" s="54"/>
    </row>
    <row r="21" spans="1:30">
      <c r="A21" s="25"/>
      <c r="B21" s="26"/>
      <c r="C21" s="49" t="s">
        <v>28</v>
      </c>
      <c r="D21" s="50">
        <v>560000</v>
      </c>
      <c r="E21" s="51"/>
      <c r="F21" s="52"/>
      <c r="G21" s="52"/>
      <c r="H21" s="52"/>
      <c r="I21" s="52"/>
      <c r="J21" s="53"/>
      <c r="K21" s="54">
        <v>678000</v>
      </c>
      <c r="L21" s="54">
        <f>'[1]CY11 Plan detail'!D22</f>
        <v>678000</v>
      </c>
      <c r="M21" s="54">
        <f>L21</f>
        <v>678000</v>
      </c>
      <c r="Y21" s="55"/>
      <c r="Z21" s="55"/>
      <c r="AC21" s="24"/>
    </row>
    <row r="22" spans="1:30">
      <c r="A22" s="25"/>
      <c r="B22" s="26"/>
      <c r="C22" s="49"/>
      <c r="D22" s="56"/>
      <c r="E22" s="51"/>
      <c r="F22" s="52"/>
      <c r="G22" s="52"/>
      <c r="H22" s="52"/>
      <c r="I22" s="52"/>
      <c r="J22" s="53"/>
      <c r="K22" s="51"/>
      <c r="L22" s="51"/>
      <c r="M22" s="51"/>
      <c r="Y22" s="55"/>
      <c r="Z22" s="55"/>
    </row>
    <row r="23" spans="1:30" s="13" customFormat="1" ht="16.5" customHeight="1">
      <c r="A23" s="7"/>
      <c r="B23" s="15" t="s">
        <v>29</v>
      </c>
      <c r="C23" s="16"/>
      <c r="D23" s="46"/>
      <c r="E23" s="57">
        <v>21950</v>
      </c>
      <c r="F23" s="58">
        <v>24000</v>
      </c>
      <c r="G23" s="58">
        <v>24000</v>
      </c>
      <c r="H23" s="58">
        <f>F23</f>
        <v>24000</v>
      </c>
      <c r="I23" s="19">
        <f>F23-H23</f>
        <v>0</v>
      </c>
      <c r="J23" s="47" t="s">
        <v>30</v>
      </c>
      <c r="K23" s="58">
        <v>24000</v>
      </c>
      <c r="L23" s="58">
        <f>'[1]CY11 Plan detail'!E24</f>
        <v>24000</v>
      </c>
      <c r="M23" s="58">
        <f>L23</f>
        <v>24000</v>
      </c>
      <c r="N23" s="1"/>
      <c r="O23" s="1"/>
      <c r="P23" s="1"/>
      <c r="Q23" s="1"/>
      <c r="R23" s="1"/>
      <c r="S23" s="6"/>
      <c r="T23" s="6"/>
      <c r="U23" s="6"/>
      <c r="V23" s="1"/>
      <c r="W23" s="1"/>
      <c r="X23" s="1"/>
      <c r="Y23" s="55"/>
      <c r="Z23" s="55"/>
    </row>
    <row r="24" spans="1:30">
      <c r="A24" s="25"/>
      <c r="B24" s="59"/>
      <c r="C24" s="22" t="s">
        <v>31</v>
      </c>
      <c r="D24" s="28">
        <v>21238.938053097347</v>
      </c>
      <c r="E24" s="33"/>
      <c r="F24" s="30"/>
      <c r="G24" s="30"/>
      <c r="H24" s="30"/>
      <c r="I24" s="30"/>
      <c r="J24" s="32"/>
      <c r="K24" s="33"/>
      <c r="L24" s="33"/>
      <c r="M24" s="33"/>
      <c r="Y24" s="55"/>
      <c r="Z24" s="55"/>
    </row>
    <row r="25" spans="1:30" hidden="1">
      <c r="A25" s="25"/>
      <c r="B25" s="59"/>
      <c r="C25" s="27" t="s">
        <v>21</v>
      </c>
      <c r="D25" s="28">
        <v>2761.0619469026551</v>
      </c>
      <c r="E25" s="33"/>
      <c r="F25" s="30"/>
      <c r="G25" s="30"/>
      <c r="H25" s="30"/>
      <c r="I25" s="30"/>
      <c r="J25" s="32"/>
      <c r="K25" s="33"/>
      <c r="L25" s="33"/>
      <c r="M25" s="33"/>
      <c r="Q25" s="60">
        <v>1557</v>
      </c>
      <c r="Y25" s="55"/>
      <c r="Z25" s="55"/>
    </row>
    <row r="26" spans="1:30">
      <c r="A26" s="25"/>
      <c r="B26" s="59"/>
      <c r="C26" s="27" t="s">
        <v>28</v>
      </c>
      <c r="D26" s="28">
        <v>24000</v>
      </c>
      <c r="E26" s="33"/>
      <c r="F26" s="30"/>
      <c r="G26" s="30"/>
      <c r="H26" s="30"/>
      <c r="I26" s="30"/>
      <c r="J26" s="32"/>
      <c r="K26" s="33"/>
      <c r="L26" s="33"/>
      <c r="M26" s="33"/>
    </row>
    <row r="27" spans="1:30">
      <c r="A27" s="25"/>
      <c r="B27" s="59"/>
      <c r="C27" s="27"/>
      <c r="D27" s="45"/>
      <c r="E27" s="33"/>
      <c r="F27" s="30"/>
      <c r="G27" s="30"/>
      <c r="H27" s="30"/>
      <c r="I27" s="30"/>
      <c r="J27" s="32"/>
      <c r="K27" s="33"/>
      <c r="L27" s="33"/>
      <c r="M27" s="33"/>
    </row>
    <row r="28" spans="1:30" s="13" customFormat="1" ht="16.5" customHeight="1">
      <c r="A28" s="7"/>
      <c r="B28" s="15" t="s">
        <v>32</v>
      </c>
      <c r="C28" s="16"/>
      <c r="D28" s="46"/>
      <c r="E28" s="18">
        <v>95697.584640000001</v>
      </c>
      <c r="F28" s="19">
        <v>13560</v>
      </c>
      <c r="G28" s="18">
        <f>(2569+1224+1921)*1.13</f>
        <v>6456.82</v>
      </c>
      <c r="H28" s="19">
        <f>'[2]CY10 Plan &amp; Actuals'!$G$28</f>
        <v>6456.82</v>
      </c>
      <c r="I28" s="19">
        <f>F28-H28</f>
        <v>7103.18</v>
      </c>
      <c r="J28" s="61"/>
      <c r="K28" s="19">
        <v>103808.05020000003</v>
      </c>
      <c r="L28" s="19">
        <f>'[1]CY11 Plan detail'!E29</f>
        <v>100183.99200000001</v>
      </c>
      <c r="M28" s="19">
        <f>L28</f>
        <v>100183.99200000001</v>
      </c>
      <c r="N28" s="1"/>
      <c r="O28" s="1"/>
      <c r="P28" s="62"/>
      <c r="Q28" s="62"/>
      <c r="R28" s="62"/>
      <c r="S28" s="63"/>
      <c r="T28" s="63"/>
      <c r="U28" s="6"/>
      <c r="V28" s="1"/>
      <c r="W28" s="1"/>
      <c r="X28" s="62"/>
      <c r="Y28" s="64"/>
      <c r="Z28" s="65"/>
    </row>
    <row r="29" spans="1:30">
      <c r="A29" s="25"/>
      <c r="B29" s="59"/>
      <c r="C29" s="27" t="s">
        <v>33</v>
      </c>
      <c r="D29" s="28">
        <v>12000</v>
      </c>
      <c r="E29" s="66"/>
      <c r="F29" s="28"/>
      <c r="G29" s="67"/>
      <c r="H29" s="28"/>
      <c r="I29" s="28"/>
      <c r="J29" s="68"/>
      <c r="K29" s="38">
        <v>91865.531150442504</v>
      </c>
      <c r="L29" s="38">
        <f>[3]Tosti!D10</f>
        <v>88658.400000000009</v>
      </c>
      <c r="M29" s="38">
        <f>L29</f>
        <v>88658.400000000009</v>
      </c>
      <c r="R29" s="6"/>
      <c r="X29" s="62"/>
      <c r="Y29" s="69"/>
      <c r="Z29" s="65"/>
    </row>
    <row r="30" spans="1:30" hidden="1">
      <c r="A30" s="25"/>
      <c r="B30" s="59"/>
      <c r="C30" s="49" t="s">
        <v>20</v>
      </c>
      <c r="D30" s="28">
        <v>12000</v>
      </c>
      <c r="E30" s="38"/>
      <c r="F30" s="28"/>
      <c r="G30" s="28"/>
      <c r="H30" s="28"/>
      <c r="I30" s="28"/>
      <c r="J30" s="68"/>
      <c r="K30" s="38">
        <v>91865.531150442504</v>
      </c>
      <c r="L30" s="38"/>
      <c r="M30" s="38"/>
      <c r="R30" s="6"/>
      <c r="X30" s="62"/>
      <c r="Y30" s="69"/>
      <c r="Z30" s="65"/>
    </row>
    <row r="31" spans="1:30" hidden="1">
      <c r="A31" s="25"/>
      <c r="B31" s="59"/>
      <c r="C31" s="27" t="s">
        <v>21</v>
      </c>
      <c r="D31" s="28">
        <v>1560</v>
      </c>
      <c r="E31" s="38"/>
      <c r="F31" s="28"/>
      <c r="G31" s="28"/>
      <c r="H31" s="28"/>
      <c r="I31" s="28"/>
      <c r="J31" s="68"/>
      <c r="K31" s="38">
        <v>11942.519049557526</v>
      </c>
      <c r="L31" s="38"/>
      <c r="M31" s="38"/>
      <c r="R31" s="6"/>
      <c r="X31" s="62"/>
      <c r="Y31" s="69"/>
      <c r="Z31" s="65"/>
    </row>
    <row r="32" spans="1:30">
      <c r="A32" s="25"/>
      <c r="B32" s="59"/>
      <c r="C32" s="27" t="s">
        <v>28</v>
      </c>
      <c r="D32" s="28">
        <v>13560</v>
      </c>
      <c r="E32" s="38"/>
      <c r="F32" s="28"/>
      <c r="G32" s="28"/>
      <c r="H32" s="28"/>
      <c r="I32" s="28"/>
      <c r="J32" s="68"/>
      <c r="K32" s="38">
        <v>103808.05020000003</v>
      </c>
      <c r="L32" s="38">
        <f>'[1]CY11 Plan detail'!D33</f>
        <v>100183.99200000001</v>
      </c>
      <c r="M32" s="38">
        <f>L32</f>
        <v>100183.99200000001</v>
      </c>
      <c r="R32" s="6"/>
      <c r="X32" s="62"/>
      <c r="Y32" s="69"/>
      <c r="Z32" s="70"/>
      <c r="AD32" s="71"/>
    </row>
    <row r="33" spans="1:28">
      <c r="A33" s="25"/>
      <c r="B33" s="59"/>
      <c r="C33" s="27"/>
      <c r="D33" s="45"/>
      <c r="E33" s="38"/>
      <c r="F33" s="28"/>
      <c r="G33" s="28"/>
      <c r="H33" s="28"/>
      <c r="I33" s="28"/>
      <c r="J33" s="68"/>
      <c r="K33" s="38"/>
      <c r="L33" s="38"/>
      <c r="M33" s="38"/>
      <c r="R33" s="6"/>
      <c r="X33" s="62"/>
      <c r="Y33" s="69"/>
      <c r="Z33" s="70"/>
      <c r="AA33" s="6"/>
    </row>
    <row r="34" spans="1:28">
      <c r="A34" s="25"/>
      <c r="B34" s="15" t="s">
        <v>34</v>
      </c>
      <c r="C34" s="16"/>
      <c r="D34" s="46"/>
      <c r="E34" s="18">
        <v>11300</v>
      </c>
      <c r="F34" s="19">
        <v>11300</v>
      </c>
      <c r="G34" s="19">
        <f>(3001+2040)*1.13</f>
        <v>5696.329999999999</v>
      </c>
      <c r="H34" s="19">
        <f>'[2]CY10 Plan &amp; Actuals'!$G$34</f>
        <v>7412.4609999999993</v>
      </c>
      <c r="I34" s="19">
        <f>F34-H34</f>
        <v>3887.5390000000007</v>
      </c>
      <c r="J34" s="20"/>
      <c r="K34" s="19">
        <v>11300</v>
      </c>
      <c r="L34" s="19">
        <f>'[1]CY11 Plan detail'!E36</f>
        <v>11300</v>
      </c>
      <c r="M34" s="19">
        <f>L34</f>
        <v>11300</v>
      </c>
      <c r="R34" s="6"/>
      <c r="X34" s="62"/>
      <c r="Y34" s="69"/>
      <c r="Z34" s="70"/>
      <c r="AA34" s="6"/>
    </row>
    <row r="35" spans="1:28">
      <c r="A35" s="25"/>
      <c r="B35" s="59"/>
      <c r="C35" s="27" t="s">
        <v>35</v>
      </c>
      <c r="D35" s="28">
        <v>10000</v>
      </c>
      <c r="E35" s="38"/>
      <c r="F35" s="28"/>
      <c r="G35" s="28"/>
      <c r="H35" s="28"/>
      <c r="I35" s="28"/>
      <c r="J35" s="68"/>
      <c r="K35" s="38">
        <v>10000</v>
      </c>
      <c r="L35" s="38">
        <f>D35</f>
        <v>10000</v>
      </c>
      <c r="M35" s="38">
        <f>L35</f>
        <v>10000</v>
      </c>
      <c r="R35" s="6"/>
      <c r="X35" s="62"/>
      <c r="Y35" s="69"/>
      <c r="Z35" s="70"/>
    </row>
    <row r="36" spans="1:28" hidden="1">
      <c r="A36" s="25"/>
      <c r="B36" s="59"/>
      <c r="C36" s="27" t="s">
        <v>21</v>
      </c>
      <c r="D36" s="28">
        <v>1300</v>
      </c>
      <c r="E36" s="38"/>
      <c r="F36" s="28"/>
      <c r="G36" s="28"/>
      <c r="H36" s="28"/>
      <c r="I36" s="28"/>
      <c r="J36" s="68"/>
      <c r="K36" s="38"/>
      <c r="L36" s="38"/>
      <c r="M36" s="38"/>
      <c r="R36" s="6"/>
      <c r="X36" s="62"/>
      <c r="Y36" s="69"/>
      <c r="Z36" s="70"/>
    </row>
    <row r="37" spans="1:28">
      <c r="A37" s="25"/>
      <c r="B37" s="59"/>
      <c r="C37" s="27" t="s">
        <v>28</v>
      </c>
      <c r="D37" s="28">
        <v>11300</v>
      </c>
      <c r="E37" s="38"/>
      <c r="F37" s="28"/>
      <c r="G37" s="28"/>
      <c r="H37" s="28"/>
      <c r="I37" s="28"/>
      <c r="J37" s="68"/>
      <c r="K37" s="38">
        <v>11300</v>
      </c>
      <c r="L37" s="38">
        <f>D37</f>
        <v>11300</v>
      </c>
      <c r="M37" s="38">
        <f>L37</f>
        <v>11300</v>
      </c>
      <c r="R37" s="6"/>
      <c r="X37" s="62"/>
      <c r="Y37" s="69"/>
      <c r="Z37" s="70"/>
    </row>
    <row r="38" spans="1:28">
      <c r="A38" s="25"/>
      <c r="B38" s="26"/>
      <c r="C38" s="27"/>
      <c r="D38" s="45"/>
      <c r="E38" s="72"/>
      <c r="F38" s="30"/>
      <c r="G38" s="73"/>
      <c r="H38" s="30"/>
      <c r="I38" s="30"/>
      <c r="J38" s="32"/>
      <c r="K38" s="33"/>
      <c r="L38" s="33"/>
      <c r="M38" s="33"/>
      <c r="R38" s="6"/>
      <c r="X38" s="62"/>
      <c r="Y38" s="69"/>
      <c r="Z38" s="62"/>
    </row>
    <row r="39" spans="1:28">
      <c r="A39" s="25"/>
      <c r="B39" s="74" t="s">
        <v>36</v>
      </c>
      <c r="C39" s="75"/>
      <c r="D39" s="56"/>
      <c r="E39" s="76">
        <v>72026.2</v>
      </c>
      <c r="F39" s="77">
        <v>63900</v>
      </c>
      <c r="G39" s="77">
        <v>31744</v>
      </c>
      <c r="H39" s="77">
        <f>F39</f>
        <v>63900</v>
      </c>
      <c r="I39" s="19">
        <f>F39-H39</f>
        <v>0</v>
      </c>
      <c r="J39" s="47" t="s">
        <v>37</v>
      </c>
      <c r="K39" s="77">
        <v>63900</v>
      </c>
      <c r="L39" s="77">
        <f>'[1]CY11 Plan detail'!E43</f>
        <v>66528</v>
      </c>
      <c r="M39" s="77">
        <f>L39</f>
        <v>66528</v>
      </c>
      <c r="R39" s="6"/>
      <c r="X39" s="62"/>
      <c r="Y39" s="69"/>
      <c r="Z39" s="70"/>
      <c r="AA39" s="6"/>
    </row>
    <row r="40" spans="1:28">
      <c r="A40" s="25"/>
      <c r="B40" s="26"/>
      <c r="C40" s="49" t="s">
        <v>38</v>
      </c>
      <c r="D40" s="50">
        <v>63900</v>
      </c>
      <c r="E40" s="33"/>
      <c r="F40" s="30"/>
      <c r="G40" s="30"/>
      <c r="H40" s="30"/>
      <c r="I40" s="30"/>
      <c r="J40" s="32"/>
      <c r="K40" s="38">
        <f>K39</f>
        <v>63900</v>
      </c>
      <c r="L40" s="38">
        <f>'[1]CY11 Plan detail'!D45</f>
        <v>66528</v>
      </c>
      <c r="M40" s="38">
        <f>L40</f>
        <v>66528</v>
      </c>
      <c r="R40" s="6"/>
      <c r="X40" s="62"/>
      <c r="Y40" s="69"/>
      <c r="Z40" s="62"/>
    </row>
    <row r="41" spans="1:28">
      <c r="A41" s="25"/>
      <c r="B41" s="26"/>
      <c r="C41" s="27"/>
      <c r="D41" s="45"/>
      <c r="E41" s="72"/>
      <c r="F41" s="30"/>
      <c r="G41" s="73"/>
      <c r="H41" s="30"/>
      <c r="I41" s="30"/>
      <c r="J41" s="32"/>
      <c r="K41" s="33"/>
      <c r="L41" s="33"/>
      <c r="M41" s="33"/>
      <c r="R41" s="6"/>
      <c r="X41" s="62"/>
      <c r="Y41" s="69"/>
      <c r="Z41" s="62"/>
    </row>
    <row r="42" spans="1:28" s="86" customFormat="1" ht="15">
      <c r="A42" s="78"/>
      <c r="B42" s="79" t="s">
        <v>39</v>
      </c>
      <c r="C42" s="80"/>
      <c r="D42" s="81"/>
      <c r="E42" s="82">
        <f>SUM(E3:E41)</f>
        <v>1175482.3280875199</v>
      </c>
      <c r="F42" s="83">
        <f>SUM(F3:F41)</f>
        <v>1010397.80308</v>
      </c>
      <c r="G42" s="82">
        <f>SUM(G3:G41)</f>
        <v>529814.53850000002</v>
      </c>
      <c r="H42" s="83">
        <f>SUM(H3:H41)</f>
        <v>947709.34223780001</v>
      </c>
      <c r="I42" s="83">
        <f>F42-H42</f>
        <v>62688.460842199973</v>
      </c>
      <c r="J42" s="84"/>
      <c r="K42" s="83">
        <f>K39+K34+K28+K23+K17+K3</f>
        <v>1235527.7434340001</v>
      </c>
      <c r="L42" s="83">
        <f>L39+L34+L28+L23+L17+L3</f>
        <v>1208943.7674478402</v>
      </c>
      <c r="M42" s="83">
        <f>M39+M34+M28+M23+M17+M3</f>
        <v>1259450.6240000001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s="86" customFormat="1" ht="15">
      <c r="A43" s="78"/>
      <c r="B43" s="79" t="s">
        <v>40</v>
      </c>
      <c r="C43" s="80"/>
      <c r="D43" s="87"/>
      <c r="E43" s="82">
        <v>66528</v>
      </c>
      <c r="F43" s="83">
        <f>'[4]Cost Summary'!F10</f>
        <v>30547.860287519637</v>
      </c>
      <c r="G43" s="82"/>
      <c r="H43" s="83"/>
      <c r="I43" s="83"/>
      <c r="J43" s="88"/>
      <c r="K43" s="83"/>
      <c r="L43" s="83"/>
      <c r="M43" s="83"/>
      <c r="S43" s="89"/>
      <c r="T43" s="89"/>
      <c r="U43" s="89"/>
      <c r="X43" s="1"/>
      <c r="Y43" s="1"/>
    </row>
    <row r="44" spans="1:28" s="86" customFormat="1" ht="15">
      <c r="A44" s="78"/>
      <c r="B44" s="79" t="s">
        <v>41</v>
      </c>
      <c r="C44" s="80"/>
      <c r="D44" s="87"/>
      <c r="E44" s="82"/>
      <c r="F44" s="83"/>
      <c r="G44" s="82"/>
      <c r="H44" s="83"/>
      <c r="I44" s="83">
        <f>I17</f>
        <v>67324.900562199939</v>
      </c>
      <c r="J44" s="47" t="s">
        <v>42</v>
      </c>
      <c r="K44" s="83"/>
      <c r="L44" s="83"/>
      <c r="M44" s="83"/>
      <c r="S44" s="89"/>
      <c r="T44" s="89"/>
      <c r="U44" s="89"/>
      <c r="X44" s="1"/>
      <c r="Y44" s="1"/>
    </row>
    <row r="45" spans="1:28" s="86" customFormat="1" ht="15">
      <c r="A45" s="78"/>
      <c r="B45" s="79" t="s">
        <v>43</v>
      </c>
      <c r="C45" s="80"/>
      <c r="D45" s="87"/>
      <c r="E45" s="82"/>
      <c r="F45" s="83"/>
      <c r="G45" s="82"/>
      <c r="H45" s="83"/>
      <c r="I45" s="83">
        <f>I42-I44</f>
        <v>-4636.4397199999657</v>
      </c>
      <c r="J45" s="90" t="s">
        <v>44</v>
      </c>
      <c r="K45" s="83"/>
      <c r="L45" s="83"/>
      <c r="M45" s="83"/>
      <c r="S45" s="89"/>
      <c r="T45" s="89"/>
      <c r="U45" s="89"/>
      <c r="X45" s="1"/>
      <c r="Y45" s="1"/>
    </row>
    <row r="46" spans="1:28" s="86" customFormat="1" ht="15">
      <c r="A46" s="78"/>
      <c r="B46" s="79" t="s">
        <v>45</v>
      </c>
      <c r="C46" s="80"/>
      <c r="D46" s="87"/>
      <c r="E46" s="82">
        <v>925343.77479395992</v>
      </c>
      <c r="F46" s="83">
        <f>F42-F43</f>
        <v>979849.94279248035</v>
      </c>
      <c r="G46" s="82"/>
      <c r="H46" s="83"/>
      <c r="I46" s="83"/>
      <c r="J46" s="91"/>
      <c r="K46" s="83">
        <f>K42-K43</f>
        <v>1235527.7434340001</v>
      </c>
      <c r="L46" s="83">
        <f>L42-L43</f>
        <v>1208943.7674478402</v>
      </c>
      <c r="M46" s="83">
        <f>M42-M43</f>
        <v>1259450.6240000001</v>
      </c>
      <c r="S46" s="89"/>
      <c r="T46" s="89"/>
      <c r="U46" s="89"/>
      <c r="X46" s="1"/>
      <c r="Y46" s="1"/>
    </row>
    <row r="47" spans="1:28">
      <c r="C47" s="1"/>
      <c r="D47" s="1"/>
      <c r="E47" s="1"/>
      <c r="F47" s="13"/>
      <c r="G47" s="1"/>
      <c r="H47" s="1"/>
      <c r="I47" s="1"/>
      <c r="J47" s="92"/>
      <c r="K47" s="13"/>
      <c r="L47" s="13"/>
      <c r="M47" s="13"/>
    </row>
    <row r="48" spans="1:28">
      <c r="B48" s="3" t="s">
        <v>46</v>
      </c>
      <c r="F48" s="1"/>
      <c r="K48" s="1"/>
      <c r="L48" s="1"/>
      <c r="M48" s="1"/>
    </row>
    <row r="49" spans="2:2">
      <c r="B49" s="3" t="s">
        <v>47</v>
      </c>
    </row>
    <row r="50" spans="2:2">
      <c r="B50" s="3" t="s">
        <v>48</v>
      </c>
    </row>
    <row r="51" spans="2:2">
      <c r="B51" s="3" t="s">
        <v>49</v>
      </c>
    </row>
    <row r="52" spans="2:2">
      <c r="B52" s="3" t="s">
        <v>50</v>
      </c>
    </row>
  </sheetData>
  <mergeCells count="1">
    <mergeCell ref="B2:C2"/>
  </mergeCells>
  <printOptions horizontalCentered="1"/>
  <pageMargins left="0.75" right="0.75" top="0.8" bottom="0.37" header="0.28000000000000003" footer="0.280000000000000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B45"/>
  <sheetViews>
    <sheetView tabSelected="1" workbookViewId="0">
      <selection activeCell="B50" sqref="B50"/>
    </sheetView>
  </sheetViews>
  <sheetFormatPr defaultColWidth="8.85546875" defaultRowHeight="12.75" outlineLevelRow="1" outlineLevelCol="1"/>
  <cols>
    <col min="1" max="1" width="21" style="1" customWidth="1"/>
    <col min="2" max="3" width="10.42578125" style="1" customWidth="1"/>
    <col min="4" max="4" width="10.140625" style="1" customWidth="1"/>
    <col min="5" max="5" width="14" style="1" customWidth="1"/>
    <col min="6" max="6" width="11.28515625" style="1" customWidth="1"/>
    <col min="7" max="7" width="12" style="1" customWidth="1"/>
    <col min="8" max="8" width="11.42578125" style="1" customWidth="1"/>
    <col min="9" max="9" width="11.42578125" style="1" customWidth="1" collapsed="1"/>
    <col min="10" max="10" width="11.42578125" style="1" customWidth="1"/>
    <col min="11" max="11" width="11.42578125" style="62" customWidth="1"/>
    <col min="12" max="12" width="11.42578125" style="1" customWidth="1"/>
    <col min="13" max="13" width="13.140625" style="1" customWidth="1" outlineLevel="1"/>
    <col min="14" max="14" width="13.28515625" style="1" customWidth="1"/>
    <col min="15" max="16384" width="8.85546875" style="1"/>
  </cols>
  <sheetData>
    <row r="1" spans="1:15" ht="31.5" customHeight="1">
      <c r="A1" s="2" t="s">
        <v>51</v>
      </c>
    </row>
    <row r="2" spans="1:15">
      <c r="A2" s="1" t="s">
        <v>52</v>
      </c>
    </row>
    <row r="3" spans="1:15">
      <c r="A3" s="1" t="s">
        <v>53</v>
      </c>
    </row>
    <row r="4" spans="1:15">
      <c r="A4" s="93" t="s">
        <v>54</v>
      </c>
      <c r="C4" s="6"/>
      <c r="D4" s="94"/>
      <c r="F4" s="95">
        <f>+G39</f>
        <v>1378000</v>
      </c>
      <c r="G4" s="95"/>
    </row>
    <row r="5" spans="1:15">
      <c r="A5" s="93" t="s">
        <v>55</v>
      </c>
      <c r="C5" s="6"/>
      <c r="F5" s="95">
        <f>'CY10 Plan &amp; Actuals-present'!M46</f>
        <v>1259450.6240000001</v>
      </c>
      <c r="G5" s="96">
        <f>'CY10 Plan &amp; Actuals-present'!L43</f>
        <v>0</v>
      </c>
      <c r="H5" s="97">
        <v>34587</v>
      </c>
      <c r="I5" s="95"/>
      <c r="J5" s="95"/>
      <c r="K5" s="98"/>
      <c r="L5" s="95"/>
    </row>
    <row r="7" spans="1:15" ht="25.5">
      <c r="A7" s="99" t="s">
        <v>56</v>
      </c>
      <c r="B7" s="100" t="s">
        <v>57</v>
      </c>
      <c r="C7" s="101"/>
      <c r="D7" s="102"/>
      <c r="E7" s="103" t="s">
        <v>58</v>
      </c>
      <c r="F7" s="104" t="s">
        <v>59</v>
      </c>
      <c r="G7" s="105"/>
      <c r="H7" s="106" t="s">
        <v>60</v>
      </c>
      <c r="I7" s="107" t="s">
        <v>61</v>
      </c>
      <c r="J7" s="107" t="s">
        <v>62</v>
      </c>
      <c r="K7" s="108" t="s">
        <v>63</v>
      </c>
      <c r="L7" s="107" t="s">
        <v>64</v>
      </c>
      <c r="O7" s="109"/>
    </row>
    <row r="8" spans="1:15" ht="63.75">
      <c r="A8" s="110"/>
      <c r="B8" s="111" t="s">
        <v>65</v>
      </c>
      <c r="C8" s="112" t="s">
        <v>66</v>
      </c>
      <c r="D8" s="112" t="s">
        <v>67</v>
      </c>
      <c r="E8" s="113" t="s">
        <v>68</v>
      </c>
      <c r="F8" s="112" t="s">
        <v>69</v>
      </c>
      <c r="G8" s="114" t="s">
        <v>70</v>
      </c>
      <c r="H8" s="115" t="s">
        <v>71</v>
      </c>
      <c r="I8" s="115" t="str">
        <f>"Allocate '10 Under Run "</f>
        <v xml:space="preserve">Allocate '10 Under Run </v>
      </c>
      <c r="J8" s="115" t="s">
        <v>72</v>
      </c>
      <c r="K8" s="116" t="s">
        <v>73</v>
      </c>
      <c r="L8" s="115" t="s">
        <v>74</v>
      </c>
      <c r="M8" s="117"/>
      <c r="N8" s="117"/>
      <c r="O8" s="117"/>
    </row>
    <row r="9" spans="1:15" ht="17.25" customHeight="1">
      <c r="A9" s="118" t="s">
        <v>75</v>
      </c>
      <c r="B9" s="118">
        <f>SUM(B10:B12)</f>
        <v>16</v>
      </c>
      <c r="C9" s="36">
        <f>SUM(C10:C12)</f>
        <v>10</v>
      </c>
      <c r="D9" s="36">
        <f>SUM(D10:D12)</f>
        <v>6</v>
      </c>
      <c r="E9" s="119">
        <f>+F9/$F$39</f>
        <v>0.11320754716981132</v>
      </c>
      <c r="F9" s="120">
        <f t="shared" ref="F9:K9" si="0">SUM(F10:F12)</f>
        <v>24</v>
      </c>
      <c r="G9" s="121">
        <f t="shared" si="0"/>
        <v>156000</v>
      </c>
      <c r="H9" s="50">
        <f t="shared" si="0"/>
        <v>142579.31592452829</v>
      </c>
      <c r="I9" s="50">
        <f t="shared" si="0"/>
        <v>0</v>
      </c>
      <c r="J9" s="122">
        <f t="shared" si="0"/>
        <v>142579.31592452829</v>
      </c>
      <c r="K9" s="123">
        <f t="shared" si="0"/>
        <v>151285.36024024023</v>
      </c>
      <c r="L9" s="122">
        <f>+K9/F9</f>
        <v>6303.556676676676</v>
      </c>
      <c r="M9" s="117"/>
      <c r="N9" s="117"/>
      <c r="O9" s="117"/>
    </row>
    <row r="10" spans="1:15">
      <c r="A10" s="124" t="s">
        <v>76</v>
      </c>
      <c r="B10" s="118">
        <v>4</v>
      </c>
      <c r="C10" s="36">
        <v>3</v>
      </c>
      <c r="D10" s="36">
        <v>1</v>
      </c>
      <c r="E10" s="119">
        <f>+F10/$F$39</f>
        <v>2.6415094339622639E-2</v>
      </c>
      <c r="F10" s="120">
        <f>(($B10+0.2*$C10+$D10))</f>
        <v>5.6</v>
      </c>
      <c r="G10" s="125">
        <f>+F10*6500</f>
        <v>36400</v>
      </c>
      <c r="H10" s="50">
        <f>F10/F$39*F$5</f>
        <v>33268.507049056599</v>
      </c>
      <c r="I10" s="50">
        <f>G10/G$39*G$5</f>
        <v>0</v>
      </c>
      <c r="J10" s="126">
        <f>H10-I10</f>
        <v>33268.507049056599</v>
      </c>
      <c r="K10" s="127">
        <f>+F10/F$37*SUM($J$17:$J$25)+J10</f>
        <v>35299.917389389382</v>
      </c>
      <c r="L10" s="126">
        <f>+K10/F10</f>
        <v>6303.556676676676</v>
      </c>
      <c r="M10" s="117"/>
      <c r="N10" s="117"/>
      <c r="O10" s="117"/>
    </row>
    <row r="11" spans="1:15">
      <c r="A11" s="124" t="s">
        <v>77</v>
      </c>
      <c r="B11" s="118">
        <v>12</v>
      </c>
      <c r="C11" s="36">
        <v>7</v>
      </c>
      <c r="D11" s="36">
        <v>5</v>
      </c>
      <c r="E11" s="119">
        <f>+F11/$F$39</f>
        <v>8.6792452830188674E-2</v>
      </c>
      <c r="F11" s="120">
        <f>(($B11+0.2*$C11+$D11))</f>
        <v>18.399999999999999</v>
      </c>
      <c r="G11" s="125">
        <f>+F11*6500</f>
        <v>119599.99999999999</v>
      </c>
      <c r="H11" s="50">
        <f>F11/F$39*F$5</f>
        <v>109310.8088754717</v>
      </c>
      <c r="I11" s="50">
        <f>G11/G$39*G$5</f>
        <v>0</v>
      </c>
      <c r="J11" s="50">
        <f>H11-I11</f>
        <v>109310.8088754717</v>
      </c>
      <c r="K11" s="127">
        <f>+F11/F$37*SUM($J$17:$J$25)+J11</f>
        <v>115985.44285085086</v>
      </c>
      <c r="L11" s="126">
        <f>+K11/F11</f>
        <v>6303.5566766766779</v>
      </c>
      <c r="M11" s="117"/>
      <c r="N11" s="117"/>
      <c r="O11" s="117"/>
    </row>
    <row r="12" spans="1:15" ht="8.25" customHeight="1">
      <c r="A12" s="124"/>
      <c r="B12" s="118"/>
      <c r="C12" s="36"/>
      <c r="D12" s="36"/>
      <c r="E12" s="119"/>
      <c r="F12" s="120"/>
      <c r="G12" s="125"/>
      <c r="H12" s="50"/>
      <c r="I12" s="50"/>
      <c r="J12" s="50"/>
      <c r="K12" s="128"/>
      <c r="L12" s="50"/>
      <c r="M12" s="117"/>
      <c r="N12" s="117"/>
      <c r="O12" s="117"/>
    </row>
    <row r="13" spans="1:15">
      <c r="A13" s="118" t="s">
        <v>78</v>
      </c>
      <c r="B13" s="118">
        <f>SUM(B14:B15)</f>
        <v>23</v>
      </c>
      <c r="C13" s="36">
        <f>SUM(C14:C15)</f>
        <v>25</v>
      </c>
      <c r="D13" s="36">
        <f>SUM(D14:D15)</f>
        <v>22</v>
      </c>
      <c r="E13" s="119">
        <f>+F13/$F$39</f>
        <v>0.23584905660377359</v>
      </c>
      <c r="F13" s="120">
        <f t="shared" ref="F13:K13" si="1">SUM(F14:F15)</f>
        <v>50</v>
      </c>
      <c r="G13" s="121">
        <f t="shared" si="1"/>
        <v>325000</v>
      </c>
      <c r="H13" s="122">
        <f t="shared" si="1"/>
        <v>297040.24150943395</v>
      </c>
      <c r="I13" s="122">
        <f t="shared" si="1"/>
        <v>0</v>
      </c>
      <c r="J13" s="122">
        <f t="shared" si="1"/>
        <v>297040.24150943395</v>
      </c>
      <c r="K13" s="123">
        <f t="shared" si="1"/>
        <v>315177.83383383381</v>
      </c>
      <c r="L13" s="122">
        <f>+K13/F13</f>
        <v>6303.556676676676</v>
      </c>
      <c r="M13" s="117"/>
      <c r="N13" s="117"/>
      <c r="O13" s="117"/>
    </row>
    <row r="14" spans="1:15">
      <c r="A14" s="124" t="s">
        <v>79</v>
      </c>
      <c r="B14" s="118">
        <v>5</v>
      </c>
      <c r="C14" s="36">
        <v>18</v>
      </c>
      <c r="D14" s="36">
        <v>7</v>
      </c>
      <c r="E14" s="119">
        <f>+F14/$F$39</f>
        <v>7.3584905660377356E-2</v>
      </c>
      <c r="F14" s="120">
        <f>(($B14+0.2*$C14+$D14))</f>
        <v>15.6</v>
      </c>
      <c r="G14" s="125">
        <f>+F14*6500</f>
        <v>101400</v>
      </c>
      <c r="H14" s="50">
        <f>F14/F$39*F$5</f>
        <v>92676.555350943396</v>
      </c>
      <c r="I14" s="50">
        <f>G14/G$39*G$5</f>
        <v>0</v>
      </c>
      <c r="J14" s="126">
        <f>H14-I14</f>
        <v>92676.555350943396</v>
      </c>
      <c r="K14" s="127">
        <f>+F14/F$37*SUM($J$17:$J$25)+J14</f>
        <v>98335.484156156162</v>
      </c>
      <c r="L14" s="126">
        <f>+K14/F14</f>
        <v>6303.5566766766769</v>
      </c>
      <c r="M14" s="117"/>
      <c r="N14" s="117"/>
      <c r="O14" s="117"/>
    </row>
    <row r="15" spans="1:15">
      <c r="A15" s="124" t="s">
        <v>80</v>
      </c>
      <c r="B15" s="118">
        <v>18</v>
      </c>
      <c r="C15" s="36">
        <v>7</v>
      </c>
      <c r="D15" s="36">
        <v>15</v>
      </c>
      <c r="E15" s="119">
        <f>+F15/$F$39</f>
        <v>0.16226415094339622</v>
      </c>
      <c r="F15" s="120">
        <f>(($B15+0.2*$C15+$D15))</f>
        <v>34.4</v>
      </c>
      <c r="G15" s="125">
        <f>+F15*6500</f>
        <v>223600</v>
      </c>
      <c r="H15" s="50">
        <f>F15/F$39*F$5</f>
        <v>204363.68615849057</v>
      </c>
      <c r="I15" s="50">
        <f>G15/G$39*G$5</f>
        <v>0</v>
      </c>
      <c r="J15" s="50">
        <f>H15-I15</f>
        <v>204363.68615849057</v>
      </c>
      <c r="K15" s="127">
        <f>+F15/F$37*SUM($J$17:$J$25)+J15</f>
        <v>216842.34967767767</v>
      </c>
      <c r="L15" s="126">
        <f>+K15/F15</f>
        <v>6303.5566766766769</v>
      </c>
      <c r="M15" s="117"/>
      <c r="N15" s="117"/>
      <c r="O15" s="117"/>
    </row>
    <row r="16" spans="1:15" ht="6" customHeight="1">
      <c r="A16" s="118"/>
      <c r="B16" s="118"/>
      <c r="C16" s="36"/>
      <c r="D16" s="36"/>
      <c r="E16" s="119"/>
      <c r="F16" s="120"/>
      <c r="G16" s="125"/>
      <c r="H16" s="50"/>
      <c r="I16" s="50"/>
      <c r="J16" s="50"/>
      <c r="K16" s="128"/>
      <c r="L16" s="50"/>
      <c r="M16" s="117"/>
      <c r="N16" s="117"/>
      <c r="O16" s="117"/>
    </row>
    <row r="17" spans="1:28">
      <c r="A17" s="118" t="s">
        <v>81</v>
      </c>
      <c r="B17" s="129"/>
      <c r="C17" s="130">
        <v>6</v>
      </c>
      <c r="D17" s="130">
        <v>4</v>
      </c>
      <c r="E17" s="131">
        <f>+F17/$F$39</f>
        <v>2.4528301886792454E-2</v>
      </c>
      <c r="F17" s="132">
        <f>(($B17+0.2*$C17+$D17))</f>
        <v>5.2</v>
      </c>
      <c r="G17" s="133">
        <f>+F17*6500</f>
        <v>33800</v>
      </c>
      <c r="H17" s="134">
        <f>F17/F$39*F$5</f>
        <v>30892.185116981134</v>
      </c>
      <c r="I17" s="134">
        <f>G17/G$39*G$5</f>
        <v>0</v>
      </c>
      <c r="J17" s="134">
        <f>H17-I17</f>
        <v>30892.185116981134</v>
      </c>
      <c r="K17" s="123"/>
      <c r="L17" s="134"/>
      <c r="M17" s="117"/>
      <c r="N17" s="117"/>
      <c r="O17" s="117"/>
      <c r="AB17" s="135"/>
    </row>
    <row r="18" spans="1:28" ht="6" customHeight="1">
      <c r="A18" s="118"/>
      <c r="B18" s="129"/>
      <c r="C18" s="130"/>
      <c r="D18" s="130"/>
      <c r="E18" s="131"/>
      <c r="F18" s="132"/>
      <c r="G18" s="136"/>
      <c r="H18" s="137"/>
      <c r="I18" s="137"/>
      <c r="J18" s="137"/>
      <c r="K18" s="128"/>
      <c r="L18" s="137"/>
      <c r="M18" s="117"/>
      <c r="N18" s="117"/>
      <c r="O18" s="117"/>
    </row>
    <row r="19" spans="1:28">
      <c r="A19" s="118" t="s">
        <v>82</v>
      </c>
      <c r="B19" s="129"/>
      <c r="C19" s="130">
        <v>1</v>
      </c>
      <c r="D19" s="130">
        <v>1</v>
      </c>
      <c r="E19" s="131">
        <f>+F19/$F$39</f>
        <v>5.6603773584905656E-3</v>
      </c>
      <c r="F19" s="132">
        <f>(($B19+0.2*$C19+$D19))</f>
        <v>1.2</v>
      </c>
      <c r="G19" s="133">
        <f>+F19*6500</f>
        <v>7800</v>
      </c>
      <c r="H19" s="134">
        <f>F19/F$39*F$5</f>
        <v>7128.9657962264146</v>
      </c>
      <c r="I19" s="134">
        <f>G19/G$39*G$5</f>
        <v>0</v>
      </c>
      <c r="J19" s="134">
        <f>H19-I19</f>
        <v>7128.9657962264146</v>
      </c>
      <c r="K19" s="123"/>
      <c r="L19" s="134"/>
      <c r="M19" s="117"/>
      <c r="N19" s="117"/>
      <c r="O19" s="117"/>
    </row>
    <row r="20" spans="1:28" ht="4.5" customHeight="1" collapsed="1">
      <c r="A20" s="118"/>
      <c r="B20" s="129"/>
      <c r="C20" s="130"/>
      <c r="D20" s="130"/>
      <c r="E20" s="131"/>
      <c r="F20" s="132"/>
      <c r="G20" s="136"/>
      <c r="H20" s="137"/>
      <c r="I20" s="137"/>
      <c r="J20" s="137"/>
      <c r="K20" s="128"/>
      <c r="L20" s="137"/>
      <c r="M20" s="117"/>
      <c r="N20" s="117"/>
      <c r="O20" s="117"/>
    </row>
    <row r="21" spans="1:28">
      <c r="A21" s="118" t="s">
        <v>83</v>
      </c>
      <c r="B21" s="129"/>
      <c r="C21" s="130">
        <v>4</v>
      </c>
      <c r="D21" s="130">
        <v>1</v>
      </c>
      <c r="E21" s="131">
        <f>+F21/$F$39</f>
        <v>8.4905660377358489E-3</v>
      </c>
      <c r="F21" s="132">
        <f>(($B21+0.2*$C21+$D21))</f>
        <v>1.8</v>
      </c>
      <c r="G21" s="133">
        <f>+F21*6500</f>
        <v>11700</v>
      </c>
      <c r="H21" s="134">
        <f>F21/F$39*F$5</f>
        <v>10693.448694339622</v>
      </c>
      <c r="I21" s="134">
        <f>G21/G$39*G$5</f>
        <v>0</v>
      </c>
      <c r="J21" s="134">
        <f>H21-I21</f>
        <v>10693.448694339622</v>
      </c>
      <c r="K21" s="123"/>
      <c r="L21" s="134"/>
      <c r="M21" s="117"/>
      <c r="N21" s="117"/>
      <c r="O21" s="117"/>
      <c r="AB21" s="135"/>
    </row>
    <row r="22" spans="1:28" ht="5.25" customHeight="1">
      <c r="A22" s="118"/>
      <c r="B22" s="129"/>
      <c r="C22" s="130"/>
      <c r="D22" s="130"/>
      <c r="E22" s="131"/>
      <c r="F22" s="132"/>
      <c r="G22" s="136"/>
      <c r="H22" s="137"/>
      <c r="I22" s="137"/>
      <c r="J22" s="137"/>
      <c r="K22" s="128"/>
      <c r="L22" s="137"/>
      <c r="M22" s="117"/>
      <c r="N22" s="117"/>
      <c r="O22" s="117"/>
    </row>
    <row r="23" spans="1:28" ht="13.5" customHeight="1">
      <c r="A23" s="118" t="s">
        <v>84</v>
      </c>
      <c r="B23" s="129"/>
      <c r="C23" s="130"/>
      <c r="D23" s="130">
        <v>3</v>
      </c>
      <c r="E23" s="131">
        <f>+F23/$F$39</f>
        <v>1.4150943396226415E-2</v>
      </c>
      <c r="F23" s="132">
        <f>(($B23+0.2*$C23+$D23))</f>
        <v>3</v>
      </c>
      <c r="G23" s="133">
        <f>+F23*6500</f>
        <v>19500</v>
      </c>
      <c r="H23" s="134">
        <f>F23/F$39*F$5</f>
        <v>17822.41449056604</v>
      </c>
      <c r="I23" s="134">
        <f>G23/G$39*G$5</f>
        <v>0</v>
      </c>
      <c r="J23" s="134">
        <f>H23-I23</f>
        <v>17822.41449056604</v>
      </c>
      <c r="K23" s="128"/>
      <c r="L23" s="137"/>
      <c r="M23" s="117"/>
      <c r="N23" s="117"/>
      <c r="O23" s="117"/>
    </row>
    <row r="24" spans="1:28" ht="5.25" customHeight="1">
      <c r="A24" s="118"/>
      <c r="B24" s="129"/>
      <c r="C24" s="130"/>
      <c r="D24" s="130"/>
      <c r="E24" s="131"/>
      <c r="F24" s="132"/>
      <c r="G24" s="136"/>
      <c r="H24" s="137"/>
      <c r="I24" s="137"/>
      <c r="J24" s="137"/>
      <c r="K24" s="128"/>
      <c r="L24" s="137"/>
      <c r="M24" s="117"/>
      <c r="N24" s="117"/>
      <c r="O24" s="117"/>
    </row>
    <row r="25" spans="1:28">
      <c r="A25" s="118" t="s">
        <v>85</v>
      </c>
      <c r="B25" s="129"/>
      <c r="C25" s="130"/>
      <c r="D25" s="130">
        <v>1</v>
      </c>
      <c r="E25" s="131">
        <f>+F25/$F$39</f>
        <v>4.7169811320754715E-3</v>
      </c>
      <c r="F25" s="132">
        <f>(($B25+0.2*$C25+$D25))</f>
        <v>1</v>
      </c>
      <c r="G25" s="133">
        <f>+F25*6500</f>
        <v>6500</v>
      </c>
      <c r="H25" s="134">
        <f>F25/F$39*F$5</f>
        <v>5940.8048301886793</v>
      </c>
      <c r="I25" s="134">
        <f>G25/G$39*G$5</f>
        <v>0</v>
      </c>
      <c r="J25" s="134">
        <f>H25-I25</f>
        <v>5940.8048301886793</v>
      </c>
      <c r="K25" s="123"/>
      <c r="L25" s="134"/>
      <c r="M25" s="117"/>
      <c r="N25" s="117"/>
      <c r="O25" s="117"/>
    </row>
    <row r="26" spans="1:28" ht="5.25" customHeight="1">
      <c r="A26" s="118"/>
      <c r="B26" s="118"/>
      <c r="C26" s="36"/>
      <c r="D26" s="36"/>
      <c r="E26" s="119"/>
      <c r="F26" s="120"/>
      <c r="G26" s="125"/>
      <c r="H26" s="50"/>
      <c r="I26" s="50"/>
      <c r="J26" s="50"/>
      <c r="K26" s="128"/>
      <c r="L26" s="50"/>
      <c r="M26" s="117"/>
      <c r="N26" s="117"/>
      <c r="O26" s="117"/>
    </row>
    <row r="27" spans="1:28">
      <c r="A27" s="118" t="s">
        <v>86</v>
      </c>
      <c r="B27" s="118">
        <v>10</v>
      </c>
      <c r="C27" s="36">
        <v>8</v>
      </c>
      <c r="D27" s="36">
        <v>5</v>
      </c>
      <c r="E27" s="119">
        <f>+F27/$F$39</f>
        <v>7.8301886792452841E-2</v>
      </c>
      <c r="F27" s="120">
        <f>(($B27+0.2*$C27+$D27))</f>
        <v>16.600000000000001</v>
      </c>
      <c r="G27" s="121">
        <f>+F27*6500</f>
        <v>107900.00000000001</v>
      </c>
      <c r="H27" s="122">
        <f>F27/F$39*F$5</f>
        <v>98617.360181132099</v>
      </c>
      <c r="I27" s="122">
        <f>G27/G$39*G$5</f>
        <v>0</v>
      </c>
      <c r="J27" s="122">
        <f>H27-I27</f>
        <v>98617.360181132099</v>
      </c>
      <c r="K27" s="127">
        <f>+F27/F$37*SUM($J$17:$J$25)+J27</f>
        <v>104639.04083283286</v>
      </c>
      <c r="L27" s="126">
        <f>+K27/F27</f>
        <v>6303.5566766766779</v>
      </c>
      <c r="M27" s="117"/>
      <c r="N27" s="138"/>
      <c r="O27" s="117"/>
    </row>
    <row r="28" spans="1:28" ht="6.75" customHeight="1">
      <c r="A28" s="118"/>
      <c r="B28" s="118"/>
      <c r="C28" s="36"/>
      <c r="D28" s="36"/>
      <c r="E28" s="119"/>
      <c r="F28" s="120"/>
      <c r="G28" s="125"/>
      <c r="H28" s="50"/>
      <c r="I28" s="50"/>
      <c r="J28" s="50"/>
      <c r="K28" s="128"/>
      <c r="L28" s="50"/>
      <c r="M28" s="117"/>
      <c r="N28" s="117"/>
      <c r="O28" s="117"/>
    </row>
    <row r="29" spans="1:28" s="62" customFormat="1">
      <c r="A29" s="118" t="s">
        <v>87</v>
      </c>
      <c r="B29" s="118">
        <v>3</v>
      </c>
      <c r="C29" s="36">
        <v>12</v>
      </c>
      <c r="D29" s="36">
        <v>2</v>
      </c>
      <c r="E29" s="119">
        <f>+F29/$F$39</f>
        <v>3.490566037735849E-2</v>
      </c>
      <c r="F29" s="120">
        <f>(($B29+0.2*$C29+$D29))</f>
        <v>7.4</v>
      </c>
      <c r="G29" s="121">
        <f>+F29*6500</f>
        <v>48100</v>
      </c>
      <c r="H29" s="122">
        <f>F29/F$39*F$5</f>
        <v>43961.955743396225</v>
      </c>
      <c r="I29" s="122">
        <f>G29/G$39*G$5</f>
        <v>0</v>
      </c>
      <c r="J29" s="122">
        <f>H29-I29</f>
        <v>43961.955743396225</v>
      </c>
      <c r="K29" s="127">
        <f>+F29/F$37*SUM($J$17:$J$25)+J29</f>
        <v>46646.319407407405</v>
      </c>
      <c r="L29" s="126">
        <f>+K29/F29</f>
        <v>6303.556676676676</v>
      </c>
      <c r="M29" s="117"/>
      <c r="N29" s="139"/>
      <c r="O29" s="140"/>
    </row>
    <row r="30" spans="1:28" ht="6.75" customHeight="1">
      <c r="A30" s="118"/>
      <c r="B30" s="118"/>
      <c r="C30" s="36"/>
      <c r="D30" s="36"/>
      <c r="E30" s="119"/>
      <c r="F30" s="120"/>
      <c r="G30" s="125"/>
      <c r="H30" s="50"/>
      <c r="I30" s="50"/>
      <c r="J30" s="50"/>
      <c r="K30" s="128"/>
      <c r="L30" s="50"/>
      <c r="M30" s="117"/>
      <c r="N30" s="117"/>
      <c r="O30" s="117"/>
    </row>
    <row r="31" spans="1:28">
      <c r="A31" s="118" t="s">
        <v>88</v>
      </c>
      <c r="B31" s="118">
        <f>SUM(B32:B33)</f>
        <v>68</v>
      </c>
      <c r="C31" s="36">
        <f>SUM(C32:C33)</f>
        <v>40</v>
      </c>
      <c r="D31" s="36">
        <f>SUM(D32:D33)</f>
        <v>42</v>
      </c>
      <c r="E31" s="119">
        <f>+F31/$F$39</f>
        <v>0.48018867924528302</v>
      </c>
      <c r="F31" s="120">
        <f t="shared" ref="F31:K31" si="2">SUM(F32:F33)</f>
        <v>101.8</v>
      </c>
      <c r="G31" s="121">
        <f t="shared" si="2"/>
        <v>661700</v>
      </c>
      <c r="H31" s="122">
        <f t="shared" si="2"/>
        <v>604773.93171320751</v>
      </c>
      <c r="I31" s="122">
        <f t="shared" si="2"/>
        <v>0</v>
      </c>
      <c r="J31" s="122">
        <f t="shared" si="2"/>
        <v>604773.93171320751</v>
      </c>
      <c r="K31" s="123">
        <f t="shared" si="2"/>
        <v>641702.06968568568</v>
      </c>
      <c r="L31" s="122">
        <f>+K31/F31</f>
        <v>6303.5566766766769</v>
      </c>
      <c r="M31" s="117"/>
      <c r="N31" s="117"/>
      <c r="O31" s="117"/>
    </row>
    <row r="32" spans="1:28">
      <c r="A32" s="124" t="s">
        <v>89</v>
      </c>
      <c r="B32" s="118">
        <f>39+1+1+2</f>
        <v>43</v>
      </c>
      <c r="C32" s="36">
        <v>15</v>
      </c>
      <c r="D32" s="36">
        <v>16</v>
      </c>
      <c r="E32" s="119">
        <f>+F32/$F$39</f>
        <v>0.29245283018867924</v>
      </c>
      <c r="F32" s="120">
        <f>(($B32+0.2*$C32+$D32))</f>
        <v>62</v>
      </c>
      <c r="G32" s="125">
        <f>+F32*6500</f>
        <v>403000</v>
      </c>
      <c r="H32" s="122">
        <f>F32/F$39*F$5</f>
        <v>368329.8994716981</v>
      </c>
      <c r="I32" s="122">
        <f>G32/G$39*G$5</f>
        <v>0</v>
      </c>
      <c r="J32" s="50">
        <f>H32-I32</f>
        <v>368329.8994716981</v>
      </c>
      <c r="K32" s="127">
        <f>+F32/F$37*SUM($J$17:$J$25)+J32</f>
        <v>390820.51395395392</v>
      </c>
      <c r="L32" s="126">
        <f>+K32/F32</f>
        <v>6303.556676676676</v>
      </c>
      <c r="M32" s="117"/>
      <c r="N32" s="117"/>
      <c r="O32" s="117"/>
    </row>
    <row r="33" spans="1:16">
      <c r="A33" s="124" t="s">
        <v>90</v>
      </c>
      <c r="B33" s="118">
        <v>25</v>
      </c>
      <c r="C33" s="36">
        <v>25</v>
      </c>
      <c r="D33" s="36">
        <v>26</v>
      </c>
      <c r="E33" s="119">
        <f>+F33/$F$39</f>
        <v>0.18773584905660376</v>
      </c>
      <c r="F33" s="120">
        <f>+F34+F35</f>
        <v>39.799999999999997</v>
      </c>
      <c r="G33" s="125">
        <f>+G34+G35</f>
        <v>258700</v>
      </c>
      <c r="H33" s="50">
        <f>+H34+H35</f>
        <v>236444.03224150944</v>
      </c>
      <c r="I33" s="50">
        <f>G33/G$39*G$5</f>
        <v>0</v>
      </c>
      <c r="J33" s="50">
        <f>+J34+J35</f>
        <v>236444.03224150944</v>
      </c>
      <c r="K33" s="128">
        <f>+K34+K35</f>
        <v>250881.55573173173</v>
      </c>
      <c r="L33" s="126">
        <f>+K33/F33</f>
        <v>6303.5566766766769</v>
      </c>
      <c r="M33" s="117"/>
      <c r="N33" s="117"/>
      <c r="O33" s="117"/>
    </row>
    <row r="34" spans="1:16" hidden="1" outlineLevel="1">
      <c r="A34" s="141" t="s">
        <v>91</v>
      </c>
      <c r="B34" s="142">
        <v>19</v>
      </c>
      <c r="C34" s="143">
        <v>17</v>
      </c>
      <c r="D34" s="143">
        <v>11</v>
      </c>
      <c r="E34" s="144">
        <f>+F34/$F$39</f>
        <v>0.15754716981132075</v>
      </c>
      <c r="F34" s="145">
        <f>(($B34+0.2*$C34+$D34))</f>
        <v>33.4</v>
      </c>
      <c r="G34" s="146">
        <f>+F34*6500</f>
        <v>217100</v>
      </c>
      <c r="H34" s="128">
        <f>F34/F$39*F$5</f>
        <v>198422.88132830188</v>
      </c>
      <c r="I34" s="128">
        <f>G34/G$39*G$5</f>
        <v>0</v>
      </c>
      <c r="J34" s="128">
        <f>H34-I34</f>
        <v>198422.88132830188</v>
      </c>
      <c r="K34" s="128">
        <f>+F34/F$37*SUM($J$17:$J$25)+J34</f>
        <v>210538.793001001</v>
      </c>
      <c r="L34" s="128">
        <f>+K34/F34</f>
        <v>6303.5566766766769</v>
      </c>
      <c r="M34" s="117"/>
      <c r="N34" s="117"/>
      <c r="O34" s="117"/>
    </row>
    <row r="35" spans="1:16" hidden="1" outlineLevel="1">
      <c r="A35" s="141" t="s">
        <v>92</v>
      </c>
      <c r="B35" s="142">
        <v>4</v>
      </c>
      <c r="C35" s="143">
        <v>12</v>
      </c>
      <c r="D35" s="143">
        <v>0</v>
      </c>
      <c r="E35" s="144">
        <f>+F35/$F$39</f>
        <v>3.0188679245283019E-2</v>
      </c>
      <c r="F35" s="145">
        <f>(($B35+0.2*$C35+$D35))</f>
        <v>6.4</v>
      </c>
      <c r="G35" s="146">
        <f>+F35*6500</f>
        <v>41600</v>
      </c>
      <c r="H35" s="128">
        <f>F35/F$39*F$5</f>
        <v>38021.150913207552</v>
      </c>
      <c r="I35" s="128">
        <f>G35/G$39*G$5</f>
        <v>0</v>
      </c>
      <c r="J35" s="128">
        <f>H35-I35</f>
        <v>38021.150913207552</v>
      </c>
      <c r="K35" s="128">
        <f>+F35/F$37*SUM($J$17:$J$25)+J35</f>
        <v>40342.762730730734</v>
      </c>
      <c r="L35" s="128">
        <f>+K35/F35</f>
        <v>6303.5566766766769</v>
      </c>
      <c r="M35" s="117"/>
      <c r="N35" s="117"/>
      <c r="O35" s="117"/>
    </row>
    <row r="36" spans="1:16" ht="7.5" customHeight="1" collapsed="1">
      <c r="A36" s="118"/>
      <c r="B36" s="118"/>
      <c r="C36" s="36"/>
      <c r="D36" s="36"/>
      <c r="E36" s="119"/>
      <c r="F36" s="120"/>
      <c r="G36" s="125"/>
      <c r="H36" s="50"/>
      <c r="I36" s="50"/>
      <c r="J36" s="50"/>
      <c r="K36" s="128"/>
      <c r="L36" s="50"/>
      <c r="M36" s="117"/>
      <c r="N36" s="117"/>
      <c r="O36" s="117"/>
    </row>
    <row r="37" spans="1:16" s="158" customFormat="1" ht="18" customHeight="1">
      <c r="A37" s="147" t="s">
        <v>93</v>
      </c>
      <c r="B37" s="148">
        <f>SUM(B31,B29,B27,B13,B9)</f>
        <v>120</v>
      </c>
      <c r="C37" s="149">
        <f t="shared" ref="C37:I37" si="3">SUM(C31,C29,C27,C13,C9)</f>
        <v>95</v>
      </c>
      <c r="D37" s="149">
        <f t="shared" si="3"/>
        <v>77</v>
      </c>
      <c r="E37" s="150">
        <f t="shared" si="3"/>
        <v>0.9424528301886792</v>
      </c>
      <c r="F37" s="151">
        <f t="shared" si="3"/>
        <v>199.8</v>
      </c>
      <c r="G37" s="152">
        <f t="shared" si="3"/>
        <v>1298700</v>
      </c>
      <c r="H37" s="153">
        <f t="shared" si="3"/>
        <v>1186972.805071698</v>
      </c>
      <c r="I37" s="153">
        <f t="shared" si="3"/>
        <v>0</v>
      </c>
      <c r="J37" s="153">
        <f>SUM(J31,J29,J27,J13,J9)</f>
        <v>1186972.805071698</v>
      </c>
      <c r="K37" s="154">
        <f>SUM(K31,K29,K27,K13,K9)</f>
        <v>1259450.6239999998</v>
      </c>
      <c r="L37" s="155">
        <f>+K37/F37</f>
        <v>6303.5566766766751</v>
      </c>
      <c r="M37" s="156"/>
      <c r="N37" s="157"/>
      <c r="O37" s="157"/>
    </row>
    <row r="38" spans="1:16" s="158" customFormat="1" ht="18" customHeight="1">
      <c r="A38" s="159" t="s">
        <v>94</v>
      </c>
      <c r="B38" s="160">
        <f>+SUM(B17:B25)</f>
        <v>0</v>
      </c>
      <c r="C38" s="161">
        <f>+SUM(C17:C25)</f>
        <v>11</v>
      </c>
      <c r="D38" s="161">
        <f>+SUM(D17:D25)</f>
        <v>10</v>
      </c>
      <c r="E38" s="162">
        <f>+SUM(E17,E19,E21,E25,E23)</f>
        <v>5.7547169811320756E-2</v>
      </c>
      <c r="F38" s="163">
        <f>+SUM(F17,F19,F21,F25,F23)</f>
        <v>12.200000000000001</v>
      </c>
      <c r="G38" s="164">
        <f>+SUM(G17:G25)</f>
        <v>79300</v>
      </c>
      <c r="H38" s="165">
        <f>+SUM(H17:H25)</f>
        <v>72477.818928301887</v>
      </c>
      <c r="I38" s="165">
        <f>+SUM(I17:I25)</f>
        <v>0</v>
      </c>
      <c r="J38" s="165">
        <f>+SUM(J17:J25)</f>
        <v>72477.818928301887</v>
      </c>
      <c r="K38" s="166">
        <f>+SUM(K17:K25)</f>
        <v>0</v>
      </c>
      <c r="L38" s="167"/>
      <c r="M38" s="157"/>
      <c r="N38" s="157"/>
      <c r="O38" s="157"/>
      <c r="P38" s="168"/>
    </row>
    <row r="39" spans="1:16" ht="13.5" thickBot="1">
      <c r="A39" s="169" t="s">
        <v>95</v>
      </c>
      <c r="B39" s="170">
        <f>+B38+B37</f>
        <v>120</v>
      </c>
      <c r="C39" s="170">
        <f>+C38+C37</f>
        <v>106</v>
      </c>
      <c r="D39" s="170">
        <f>+D38+D37</f>
        <v>87</v>
      </c>
      <c r="E39" s="171">
        <f t="shared" ref="E39:K39" si="4">SUM(E37:E38)</f>
        <v>1</v>
      </c>
      <c r="F39" s="172">
        <f t="shared" si="4"/>
        <v>212</v>
      </c>
      <c r="G39" s="173">
        <f t="shared" si="4"/>
        <v>1378000</v>
      </c>
      <c r="H39" s="174">
        <f>SUM(H37:H38)</f>
        <v>1259450.6239999998</v>
      </c>
      <c r="I39" s="174">
        <f t="shared" si="4"/>
        <v>0</v>
      </c>
      <c r="J39" s="174">
        <f t="shared" si="4"/>
        <v>1259450.6239999998</v>
      </c>
      <c r="K39" s="175">
        <f t="shared" si="4"/>
        <v>1259450.6239999998</v>
      </c>
      <c r="L39" s="176"/>
      <c r="M39" s="117"/>
      <c r="N39" s="117"/>
      <c r="O39" s="117"/>
      <c r="P39" s="177"/>
    </row>
    <row r="40" spans="1:16" ht="13.5" thickTop="1">
      <c r="A40" s="1" t="s">
        <v>96</v>
      </c>
      <c r="H40" s="178"/>
      <c r="K40" s="178"/>
      <c r="M40" s="117"/>
      <c r="N40" s="117"/>
      <c r="O40" s="117"/>
      <c r="P40" s="177"/>
    </row>
    <row r="41" spans="1:16">
      <c r="A41" s="1" t="s">
        <v>97</v>
      </c>
      <c r="H41" s="178"/>
      <c r="I41" s="179"/>
      <c r="J41" s="179"/>
      <c r="K41" s="178"/>
      <c r="P41" s="177"/>
    </row>
    <row r="42" spans="1:16">
      <c r="A42" s="1" t="s">
        <v>98</v>
      </c>
      <c r="P42" s="177"/>
    </row>
    <row r="43" spans="1:16">
      <c r="A43" s="180"/>
    </row>
    <row r="44" spans="1:16">
      <c r="E44" s="181"/>
    </row>
    <row r="45" spans="1:16">
      <c r="B45" s="182"/>
      <c r="C45" s="181"/>
      <c r="D45" s="182"/>
    </row>
  </sheetData>
  <mergeCells count="2">
    <mergeCell ref="B7:D7"/>
    <mergeCell ref="F7:G7"/>
  </mergeCells>
  <pageMargins left="0.5" right="0.47" top="1" bottom="1" header="0.5" footer="0.5"/>
  <headerFooter alignWithMargins="0">
    <oddHeader>&amp;CCY11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CY10 Plan &amp; Actuals-present</vt:lpstr>
      <vt:lpstr>CY12 Shares and Contributions</vt:lpstr>
      <vt:lpstr>'CY10 Plan &amp; Actuals-present'!Print_Area</vt:lpstr>
      <vt:lpstr>'CY12 Shares and Contributions'!Print_Area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debbien</dc:creator>
  <cp:lastModifiedBy>debbien</cp:lastModifiedBy>
  <dcterms:created xsi:type="dcterms:W3CDTF">2011-04-26T17:03:14Z</dcterms:created>
  <dcterms:modified xsi:type="dcterms:W3CDTF">2011-04-26T17:15:43Z</dcterms:modified>
</cp:coreProperties>
</file>